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smdcp" ContentType="application/vnd.openxmlformats-package.core-properties+xml"/>
  <Default Extension="png" ContentType="image/p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alcChain.xml" ContentType="application/vnd.openxmlformats-officedocument.spreadsheetml.calcChain+xml"/>
  <Override PartName="/xl/theme/theme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742315e193094142" Type="http://schemas.openxmlformats.org/officeDocument/2006/relationships/officeDocument" Target="/xl/workbook.xml" /><Relationship Id="rId1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3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6"/>
  <workbookPr codeName="ThisWorkbook"/>
  <bookViews>
    <workbookView/>
  </bookViews>
  <sheets>
    <sheet name="Summary Score" sheetId="2" r:id="rId2"/>
    <sheet name="Environment" sheetId="3" r:id="rId3"/>
    <sheet name="Social" sheetId="4" r:id="rId4"/>
    <sheet name="Governance" sheetId="5" r:id="rId5"/>
    <sheet name="Controversies" sheetId="6" r:id="rId6"/>
    <sheet name="Detailed Controversies" sheetId="7" r:id="rId7"/>
    <sheet name="Data Items" sheetId="8" r:id="rId8"/>
  </sheets>
  <definedNames/>
  <calcPr fullPrecision="1" calcMode="auto" calcId="125725"/>
</workbook>
</file>

<file path=xl/calcChain.xml><?xml version="1.0" encoding="utf-8"?>
<x:calcChain xmlns:x="http://schemas.openxmlformats.org/spreadsheetml/2006/main">
  <x:c r="D67" i="3"/>
  <x:c r="D68" i="3"/>
  <x:c r="D69" i="3"/>
  <x:c r="D70" i="3"/>
  <x:c r="D71" i="3"/>
  <x:c r="D72" i="3"/>
  <x:c r="D73" i="3"/>
  <x:c r="D74" i="3"/>
  <x:c r="D75" i="3"/>
  <x:c r="D76" i="3"/>
  <x:c r="D77" i="3"/>
  <x:c r="D78" i="3"/>
  <x:c r="D79" i="3"/>
  <x:c r="D80" i="3"/>
  <x:c r="D81" i="3"/>
  <x:c r="D82" i="3"/>
  <x:c r="D83" i="3"/>
  <x:c r="D84" i="3"/>
  <x:c r="D85" i="3"/>
  <x:c r="D86" i="3"/>
  <x:c r="D87" i="3"/>
  <x:c r="D88" i="3"/>
  <x:c r="D89" i="3"/>
  <x:c r="D90" i="3"/>
  <x:c r="D91" i="3"/>
  <x:c r="D92" i="3"/>
  <x:c r="D93" i="3"/>
  <x:c r="D94" i="3"/>
  <x:c r="D95" i="3"/>
  <x:c r="D96" i="3"/>
  <x:c r="D97" i="3"/>
  <x:c r="D98" i="3"/>
  <x:c r="D99" i="3"/>
  <x:c r="D100" i="3"/>
  <x:c r="D101" i="3"/>
  <x:c r="D102" i="3"/>
  <x:c r="D103" i="3"/>
  <x:c r="D104" i="3"/>
  <x:c r="D105" i="3"/>
  <x:c r="D106" i="3"/>
  <x:c r="D107" i="3"/>
  <x:c r="D108" i="3"/>
  <x:c r="D109" i="3"/>
  <x:c r="D110" i="3"/>
  <x:c r="D111" i="3"/>
  <x:c r="D112" i="3"/>
  <x:c r="D113" i="3"/>
  <x:c r="D114" i="3"/>
  <x:c r="D115" i="3"/>
  <x:c r="D116" i="3"/>
  <x:c r="D117" i="3"/>
  <x:c r="D118" i="3"/>
  <x:c r="D119" i="3"/>
  <x:c r="D120" i="3"/>
  <x:c r="D121" i="3"/>
  <x:c r="D122" i="3"/>
  <x:c r="D123" i="3"/>
  <x:c r="D124" i="3"/>
  <x:c r="D125" i="3"/>
  <x:c r="D126" i="3"/>
  <x:c r="D127" i="3"/>
  <x:c r="D128" i="3"/>
  <x:c r="D129" i="3"/>
  <x:c r="D130" i="3"/>
  <x:c r="D131" i="3"/>
  <x:c r="D132" i="3"/>
  <x:c r="D133" i="3"/>
  <x:c r="D134" i="3"/>
  <x:c r="D135" i="3"/>
  <x:c r="D136" i="3"/>
  <x:c r="D137" i="3"/>
  <x:c r="D138" i="3"/>
  <x:c r="D139" i="3"/>
  <x:c r="D140" i="3"/>
  <x:c r="D141" i="3"/>
  <x:c r="D142" i="3"/>
  <x:c r="D143" i="3"/>
  <x:c r="D144" i="3"/>
  <x:c r="D145" i="3"/>
  <x:c r="D146" i="3"/>
  <x:c r="D147" i="3"/>
  <x:c r="D148" i="3"/>
  <x:c r="D149" i="3"/>
  <x:c r="D150" i="3"/>
  <x:c r="D151" i="3"/>
  <x:c r="D152" i="3"/>
  <x:c r="D153" i="3"/>
  <x:c r="D154" i="3"/>
  <x:c r="D155" i="3"/>
  <x:c r="D156" i="3"/>
  <x:c r="D157" i="3"/>
  <x:c r="D158" i="3"/>
  <x:c r="D159" i="3"/>
  <x:c r="D160" i="3"/>
  <x:c r="D161" i="3"/>
  <x:c r="D162" i="3"/>
  <x:c r="D163" i="3"/>
  <x:c r="D164" i="3"/>
  <x:c r="D165" i="3"/>
  <x:c r="D166" i="3"/>
  <x:c r="D167" i="3"/>
  <x:c r="D168" i="3"/>
  <x:c r="D169" i="3"/>
  <x:c r="D170" i="3"/>
  <x:c r="D171" i="3"/>
  <x:c r="D172" i="3"/>
  <x:c r="D173" i="3"/>
  <x:c r="D174" i="3"/>
  <x:c r="D175" i="3"/>
  <x:c r="D176" i="3"/>
  <x:c r="D177" i="3"/>
  <x:c r="D178" i="3"/>
  <x:c r="D179" i="3"/>
  <x:c r="D180" i="3"/>
  <x:c r="D181" i="3"/>
  <x:c r="D182" i="3"/>
  <x:c r="D183" i="3"/>
  <x:c r="D184" i="3"/>
  <x:c r="D185" i="3"/>
  <x:c r="D186" i="3"/>
  <x:c r="D187" i="3"/>
  <x:c r="D188" i="3"/>
  <x:c r="D189" i="3"/>
  <x:c r="D190" i="3"/>
  <x:c r="D191" i="3"/>
  <x:c r="D192" i="3"/>
  <x:c r="D193" i="3"/>
  <x:c r="D194" i="3"/>
  <x:c r="D195" i="3"/>
  <x:c r="D196" i="3"/>
  <x:c r="D197" i="3"/>
  <x:c r="D198" i="3"/>
  <x:c r="D199" i="3"/>
  <x:c r="D200" i="3"/>
  <x:c r="D201" i="3"/>
  <x:c r="D202" i="3"/>
  <x:c r="D203" i="3"/>
  <x:c r="D204" i="3"/>
  <x:c r="D205" i="3"/>
  <x:c r="D206" i="3"/>
  <x:c r="D207" i="3"/>
  <x:c r="D208" i="3"/>
  <x:c r="D209" i="3"/>
  <x:c r="D210" i="3"/>
  <x:c r="D211" i="3"/>
  <x:c r="D212" i="3"/>
  <x:c r="D213" i="3"/>
  <x:c r="D214" i="3"/>
  <x:c r="D215" i="3"/>
  <x:c r="D216" i="3"/>
  <x:c r="D217" i="3"/>
  <x:c r="D218" i="3"/>
  <x:c r="D219" i="3"/>
  <x:c r="D220" i="3"/>
  <x:c r="D221" i="3"/>
  <x:c r="D222" i="3"/>
  <x:c r="D223" i="3"/>
  <x:c r="D224" i="3"/>
  <x:c r="D225" i="3"/>
  <x:c r="D226" i="3"/>
  <x:c r="D227" i="3"/>
  <x:c r="D228" i="3"/>
  <x:c r="D229" i="3"/>
  <x:c r="D230" i="3"/>
  <x:c r="D231" i="3"/>
  <x:c r="D232" i="3"/>
  <x:c r="D233" i="3"/>
  <x:c r="D234" i="3"/>
  <x:c r="D235" i="3"/>
  <x:c r="D236" i="3"/>
  <x:c r="D237" i="3"/>
  <x:c r="D238" i="3"/>
  <x:c r="D239" i="3"/>
  <x:c r="D240" i="3"/>
  <x:c r="D241" i="3"/>
  <x:c r="D242" i="3"/>
  <x:c r="D243" i="3"/>
  <x:c r="D244" i="3"/>
  <x:c r="D245" i="3"/>
  <x:c r="D246" i="3"/>
  <x:c r="D247" i="3"/>
  <x:c r="D248" i="3"/>
  <x:c r="D249" i="3"/>
  <x:c r="D250" i="3"/>
  <x:c r="D251" i="3"/>
  <x:c r="D252" i="3"/>
  <x:c r="D253" i="3"/>
  <x:c r="D254" i="3"/>
  <x:c r="D255" i="3"/>
  <x:c r="D256" i="3"/>
  <x:c r="D257" i="3"/>
  <x:c r="D258" i="3"/>
  <x:c r="D259" i="3"/>
  <x:c r="D260" i="3"/>
  <x:c r="D261" i="3"/>
  <x:c r="D262" i="3"/>
  <x:c r="D263" i="3"/>
  <x:c r="D264" i="3"/>
  <x:c r="D265" i="3"/>
  <x:c r="D266" i="3"/>
  <x:c r="D267" i="3"/>
  <x:c r="D268" i="3"/>
  <x:c r="D269" i="3"/>
  <x:c r="D270" i="3"/>
  <x:c r="D271" i="3"/>
  <x:c r="D272" i="3"/>
  <x:c r="D273" i="3"/>
  <x:c r="D274" i="3"/>
  <x:c r="D275" i="3"/>
  <x:c r="D276" i="3"/>
  <x:c r="D277" i="3"/>
  <x:c r="D278" i="3"/>
  <x:c r="D279" i="3"/>
  <x:c r="D280" i="3"/>
  <x:c r="D281" i="3"/>
  <x:c r="D282" i="3"/>
  <x:c r="D283" i="3"/>
  <x:c r="D284" i="3"/>
  <x:c r="D285" i="3"/>
  <x:c r="D286" i="3"/>
  <x:c r="D287" i="3"/>
  <x:c r="D288" i="3"/>
  <x:c r="D289" i="3"/>
  <x:c r="D290" i="3"/>
  <x:c r="D291" i="3"/>
  <x:c r="D292" i="3"/>
  <x:c r="D293" i="3"/>
  <x:c r="D294" i="3"/>
  <x:c r="D295" i="3"/>
  <x:c r="D296" i="3"/>
  <x:c r="D297" i="3"/>
  <x:c r="D298" i="3"/>
  <x:c r="D299" i="3"/>
  <x:c r="D300" i="3"/>
  <x:c r="D301" i="3"/>
  <x:c r="D302" i="3"/>
  <x:c r="D303" i="3"/>
  <x:c r="D304" i="3"/>
  <x:c r="D305" i="3"/>
  <x:c r="D306" i="3"/>
  <x:c r="D307" i="3"/>
  <x:c r="D308" i="3"/>
  <x:c r="D309" i="3"/>
  <x:c r="D310" i="3"/>
  <x:c r="D311" i="3"/>
  <x:c r="D312" i="3"/>
  <x:c r="D313" i="3"/>
  <x:c r="D314" i="3"/>
  <x:c r="D315" i="3"/>
  <x:c r="D316" i="3"/>
  <x:c r="D317" i="3"/>
  <x:c r="D318" i="3"/>
  <x:c r="D319" i="3"/>
  <x:c r="D320" i="3"/>
  <x:c r="D321" i="3"/>
  <x:c r="D322" i="3"/>
  <x:c r="D323" i="3"/>
  <x:c r="D324" i="3"/>
  <x:c r="D67" i="4"/>
  <x:c r="D68" i="4"/>
  <x:c r="D69" i="4"/>
  <x:c r="D70" i="4"/>
  <x:c r="D71" i="4"/>
  <x:c r="D72" i="4"/>
  <x:c r="D73" i="4"/>
  <x:c r="D74" i="4"/>
  <x:c r="D75" i="4"/>
  <x:c r="D76" i="4"/>
  <x:c r="D77" i="4"/>
  <x:c r="D78" i="4"/>
  <x:c r="D79" i="4"/>
  <x:c r="D80" i="4"/>
  <x:c r="D81" i="4"/>
  <x:c r="D82" i="4"/>
  <x:c r="D83" i="4"/>
  <x:c r="D84" i="4"/>
  <x:c r="D85" i="4"/>
  <x:c r="D86" i="4"/>
  <x:c r="D87" i="4"/>
  <x:c r="D88" i="4"/>
  <x:c r="D89" i="4"/>
  <x:c r="D90" i="4"/>
  <x:c r="D91" i="4"/>
  <x:c r="D92" i="4"/>
  <x:c r="D93" i="4"/>
  <x:c r="D94" i="4"/>
  <x:c r="D95" i="4"/>
  <x:c r="D96" i="4"/>
  <x:c r="D97" i="4"/>
  <x:c r="D98" i="4"/>
  <x:c r="D99" i="4"/>
  <x:c r="D100" i="4"/>
  <x:c r="D101" i="4"/>
  <x:c r="D102" i="4"/>
  <x:c r="D103" i="4"/>
  <x:c r="D104" i="4"/>
  <x:c r="D105" i="4"/>
  <x:c r="D106" i="4"/>
  <x:c r="D107" i="4"/>
  <x:c r="D108" i="4"/>
  <x:c r="D109" i="4"/>
  <x:c r="D110" i="4"/>
  <x:c r="D111" i="4"/>
  <x:c r="D112" i="4"/>
  <x:c r="D113" i="4"/>
  <x:c r="D114" i="4"/>
  <x:c r="D115" i="4"/>
  <x:c r="D116" i="4"/>
  <x:c r="D117" i="4"/>
  <x:c r="D118" i="4"/>
  <x:c r="D119" i="4"/>
  <x:c r="D120" i="4"/>
  <x:c r="D121" i="4"/>
  <x:c r="D122" i="4"/>
  <x:c r="D123" i="4"/>
  <x:c r="D124" i="4"/>
  <x:c r="D125" i="4"/>
  <x:c r="D126" i="4"/>
  <x:c r="D127" i="4"/>
  <x:c r="D128" i="4"/>
  <x:c r="D129" i="4"/>
  <x:c r="D130" i="4"/>
  <x:c r="D131" i="4"/>
  <x:c r="D132" i="4"/>
  <x:c r="D133" i="4"/>
  <x:c r="D134" i="4"/>
  <x:c r="D135" i="4"/>
  <x:c r="D136" i="4"/>
  <x:c r="D137" i="4"/>
  <x:c r="D138" i="4"/>
  <x:c r="D139" i="4"/>
  <x:c r="D140" i="4"/>
  <x:c r="D141" i="4"/>
  <x:c r="D142" i="4"/>
  <x:c r="D143" i="4"/>
  <x:c r="D144" i="4"/>
  <x:c r="D145" i="4"/>
  <x:c r="D146" i="4"/>
  <x:c r="D147" i="4"/>
  <x:c r="D148" i="4"/>
  <x:c r="D149" i="4"/>
  <x:c r="D150" i="4"/>
  <x:c r="D151" i="4"/>
  <x:c r="D152" i="4"/>
  <x:c r="D153" i="4"/>
  <x:c r="D154" i="4"/>
  <x:c r="D155" i="4"/>
  <x:c r="D156" i="4"/>
  <x:c r="D157" i="4"/>
  <x:c r="D158" i="4"/>
  <x:c r="D159" i="4"/>
  <x:c r="D160" i="4"/>
  <x:c r="D161" i="4"/>
  <x:c r="D162" i="4"/>
  <x:c r="D163" i="4"/>
  <x:c r="D164" i="4"/>
  <x:c r="D165" i="4"/>
  <x:c r="D166" i="4"/>
  <x:c r="D167" i="4"/>
  <x:c r="D168" i="4"/>
  <x:c r="D169" i="4"/>
  <x:c r="D170" i="4"/>
  <x:c r="D171" i="4"/>
  <x:c r="D172" i="4"/>
  <x:c r="D173" i="4"/>
  <x:c r="D174" i="4"/>
  <x:c r="D175" i="4"/>
  <x:c r="D176" i="4"/>
  <x:c r="D177" i="4"/>
  <x:c r="D178" i="4"/>
  <x:c r="D179" i="4"/>
  <x:c r="D180" i="4"/>
  <x:c r="D181" i="4"/>
  <x:c r="D182" i="4"/>
  <x:c r="D183" i="4"/>
  <x:c r="D184" i="4"/>
  <x:c r="D185" i="4"/>
  <x:c r="D186" i="4"/>
  <x:c r="D187" i="4"/>
  <x:c r="D188" i="4"/>
  <x:c r="D189" i="4"/>
  <x:c r="D190" i="4"/>
  <x:c r="D191" i="4"/>
  <x:c r="D192" i="4"/>
  <x:c r="D193" i="4"/>
  <x:c r="D194" i="4"/>
  <x:c r="D195" i="4"/>
  <x:c r="D196" i="4"/>
  <x:c r="D197" i="4"/>
  <x:c r="D198" i="4"/>
  <x:c r="D199" i="4"/>
  <x:c r="D200" i="4"/>
  <x:c r="D201" i="4"/>
  <x:c r="D202" i="4"/>
  <x:c r="D203" i="4"/>
  <x:c r="D204" i="4"/>
  <x:c r="D205" i="4"/>
  <x:c r="D206" i="4"/>
  <x:c r="D207" i="4"/>
  <x:c r="D208" i="4"/>
  <x:c r="D209" i="4"/>
  <x:c r="D210" i="4"/>
  <x:c r="D211" i="4"/>
  <x:c r="D212" i="4"/>
  <x:c r="D213" i="4"/>
  <x:c r="D214" i="4"/>
  <x:c r="D215" i="4"/>
  <x:c r="D216" i="4"/>
  <x:c r="D217" i="4"/>
  <x:c r="D218" i="4"/>
  <x:c r="D219" i="4"/>
  <x:c r="D220" i="4"/>
  <x:c r="D221" i="4"/>
  <x:c r="D222" i="4"/>
  <x:c r="D223" i="4"/>
  <x:c r="D224" i="4"/>
  <x:c r="D225" i="4"/>
  <x:c r="D226" i="4"/>
  <x:c r="D227" i="4"/>
  <x:c r="D228" i="4"/>
  <x:c r="D229" i="4"/>
  <x:c r="D230" i="4"/>
  <x:c r="D231" i="4"/>
  <x:c r="D232" i="4"/>
  <x:c r="D233" i="4"/>
  <x:c r="D234" i="4"/>
  <x:c r="D235" i="4"/>
  <x:c r="D236" i="4"/>
  <x:c r="D237" i="4"/>
  <x:c r="D238" i="4"/>
  <x:c r="D239" i="4"/>
  <x:c r="D240" i="4"/>
  <x:c r="D241" i="4"/>
  <x:c r="D242" i="4"/>
  <x:c r="D243" i="4"/>
  <x:c r="D244" i="4"/>
  <x:c r="D245" i="4"/>
  <x:c r="D246" i="4"/>
  <x:c r="D247" i="4"/>
  <x:c r="D248" i="4"/>
  <x:c r="D249" i="4"/>
  <x:c r="D250" i="4"/>
  <x:c r="D251" i="4"/>
  <x:c r="D252" i="4"/>
  <x:c r="D253" i="4"/>
  <x:c r="D254" i="4"/>
  <x:c r="D255" i="4"/>
  <x:c r="D256" i="4"/>
  <x:c r="D257" i="4"/>
  <x:c r="D258" i="4"/>
  <x:c r="D259" i="4"/>
  <x:c r="D260" i="4"/>
  <x:c r="D261" i="4"/>
  <x:c r="D262" i="4"/>
  <x:c r="D263" i="4"/>
  <x:c r="D264" i="4"/>
  <x:c r="D265" i="4"/>
  <x:c r="D266" i="4"/>
  <x:c r="D267" i="4"/>
  <x:c r="D268" i="4"/>
  <x:c r="D269" i="4"/>
  <x:c r="D270" i="4"/>
  <x:c r="D271" i="4"/>
  <x:c r="D272" i="4"/>
  <x:c r="D273" i="4"/>
  <x:c r="D274" i="4"/>
  <x:c r="D275" i="4"/>
  <x:c r="D276" i="4"/>
  <x:c r="D277" i="4"/>
  <x:c r="D278" i="4"/>
  <x:c r="D279" i="4"/>
  <x:c r="D280" i="4"/>
  <x:c r="D281" i="4"/>
  <x:c r="D282" i="4"/>
  <x:c r="D283" i="4"/>
  <x:c r="D284" i="4"/>
  <x:c r="D285" i="4"/>
  <x:c r="D286" i="4"/>
  <x:c r="D287" i="4"/>
  <x:c r="D288" i="4"/>
  <x:c r="D289" i="4"/>
  <x:c r="D290" i="4"/>
  <x:c r="D291" i="4"/>
  <x:c r="D292" i="4"/>
  <x:c r="D293" i="4"/>
  <x:c r="D294" i="4"/>
  <x:c r="D295" i="4"/>
  <x:c r="D296" i="4"/>
  <x:c r="D67" i="5"/>
  <x:c r="D68" i="5"/>
  <x:c r="D69" i="5"/>
  <x:c r="D70" i="5"/>
  <x:c r="D71" i="5"/>
  <x:c r="D72" i="5"/>
  <x:c r="D73" i="5"/>
  <x:c r="D74" i="5"/>
  <x:c r="D75" i="5"/>
  <x:c r="D76" i="5"/>
  <x:c r="D77" i="5"/>
  <x:c r="D78" i="5"/>
  <x:c r="D79" i="5"/>
  <x:c r="D80" i="5"/>
  <x:c r="D81" i="5"/>
  <x:c r="D82" i="5"/>
  <x:c r="D83" i="5"/>
  <x:c r="D84" i="5"/>
  <x:c r="D85" i="5"/>
  <x:c r="D86" i="5"/>
  <x:c r="D87" i="5"/>
  <x:c r="D88" i="5"/>
  <x:c r="D89" i="5"/>
  <x:c r="D90" i="5"/>
  <x:c r="D91" i="5"/>
  <x:c r="D92" i="5"/>
  <x:c r="D93" i="5"/>
  <x:c r="D94" i="5"/>
  <x:c r="D95" i="5"/>
  <x:c r="D96" i="5"/>
  <x:c r="D97" i="5"/>
  <x:c r="D98" i="5"/>
  <x:c r="D99" i="5"/>
  <x:c r="D100" i="5"/>
  <x:c r="D101" i="5"/>
  <x:c r="D102" i="5"/>
  <x:c r="D103" i="5"/>
  <x:c r="D104" i="5"/>
  <x:c r="D105" i="5"/>
  <x:c r="D106" i="5"/>
  <x:c r="D107" i="5"/>
  <x:c r="D108" i="5"/>
  <x:c r="D109" i="5"/>
  <x:c r="D110" i="5"/>
  <x:c r="D111" i="5"/>
  <x:c r="D112" i="5"/>
  <x:c r="D113" i="5"/>
  <x:c r="D114" i="5"/>
  <x:c r="D115" i="5"/>
  <x:c r="D116" i="5"/>
  <x:c r="D117" i="5"/>
  <x:c r="D118" i="5"/>
  <x:c r="D119" i="5"/>
  <x:c r="D120" i="5"/>
  <x:c r="D121" i="5"/>
  <x:c r="D122" i="5"/>
  <x:c r="D123" i="5"/>
  <x:c r="D124" i="5"/>
  <x:c r="D125" i="5"/>
  <x:c r="D126" i="5"/>
  <x:c r="D127" i="5"/>
  <x:c r="D128" i="5"/>
  <x:c r="D129" i="5"/>
  <x:c r="D130" i="5"/>
  <x:c r="D131" i="5"/>
  <x:c r="D132" i="5"/>
  <x:c r="D133" i="5"/>
  <x:c r="D134" i="5"/>
  <x:c r="D135" i="5"/>
  <x:c r="D136" i="5"/>
  <x:c r="D137" i="5"/>
  <x:c r="D138" i="5"/>
  <x:c r="D139" i="5"/>
  <x:c r="D140" i="5"/>
  <x:c r="D141" i="5"/>
  <x:c r="D142" i="5"/>
  <x:c r="D143" i="5"/>
  <x:c r="D144" i="5"/>
  <x:c r="D145" i="5"/>
  <x:c r="D146" i="5"/>
  <x:c r="D147" i="5"/>
  <x:c r="D148" i="5"/>
  <x:c r="D149" i="5"/>
  <x:c r="D150" i="5"/>
  <x:c r="D151" i="5"/>
  <x:c r="D152" i="5"/>
  <x:c r="D153" i="5"/>
  <x:c r="D154" i="5"/>
  <x:c r="D155" i="5"/>
  <x:c r="D156" i="5"/>
  <x:c r="D157" i="5"/>
  <x:c r="D158" i="5"/>
  <x:c r="D159" i="5"/>
  <x:c r="D160" i="5"/>
  <x:c r="D161" i="5"/>
  <x:c r="D162" i="5"/>
  <x:c r="D163" i="5"/>
  <x:c r="D164" i="5"/>
  <x:c r="D165" i="5"/>
  <x:c r="D166" i="5"/>
  <x:c r="D167" i="5"/>
  <x:c r="D168" i="5"/>
  <x:c r="D169" i="5"/>
  <x:c r="D170" i="5"/>
  <x:c r="D171" i="5"/>
  <x:c r="D172" i="5"/>
  <x:c r="D173" i="5"/>
  <x:c r="D174" i="5"/>
  <x:c r="D175" i="5"/>
  <x:c r="D176" i="5"/>
  <x:c r="D177" i="5"/>
  <x:c r="D178" i="5"/>
  <x:c r="D179" i="5"/>
  <x:c r="D180" i="5"/>
  <x:c r="D181" i="5"/>
  <x:c r="D182" i="5"/>
  <x:c r="D183" i="5"/>
  <x:c r="D184" i="5"/>
  <x:c r="D185" i="5"/>
  <x:c r="D186" i="5"/>
  <x:c r="D187" i="5"/>
  <x:c r="D188" i="5"/>
  <x:c r="D189" i="5"/>
  <x:c r="D190" i="5"/>
  <x:c r="D191" i="5"/>
  <x:c r="D192" i="5"/>
  <x:c r="D193" i="5"/>
  <x:c r="D194" i="5"/>
  <x:c r="D195" i="5"/>
  <x:c r="D67" i="6"/>
  <x:c r="D68" i="6"/>
  <x:c r="D69" i="6"/>
  <x:c r="D70" i="6"/>
  <x:c r="D71" i="6"/>
  <x:c r="D72" i="6"/>
  <x:c r="D73" i="6"/>
  <x:c r="D74" i="6"/>
  <x:c r="D75" i="6"/>
  <x:c r="D76" i="6"/>
  <x:c r="D77" i="6"/>
  <x:c r="D78" i="6"/>
  <x:c r="D79" i="6"/>
  <x:c r="D80" i="6"/>
  <x:c r="D81" i="6"/>
  <x:c r="D82" i="6"/>
  <x:c r="D83" i="6"/>
  <x:c r="D84" i="6"/>
  <x:c r="D85" i="6"/>
  <x:c r="D86" i="6"/>
  <x:c r="D87" i="6"/>
  <x:c r="D88" i="6"/>
  <x:c r="D89" i="6"/>
  <x:c r="D90" i="6"/>
  <x:c r="D91" i="6"/>
  <x:c r="D92" i="6"/>
  <x:c r="D93" i="6"/>
  <x:c r="D94" i="6"/>
  <x:c r="D95" i="6"/>
  <x:c r="D96" i="6"/>
  <x:c r="D97" i="6"/>
  <x:c r="D98" i="6"/>
  <x:c r="D99" i="6"/>
  <x:c r="D100" i="6"/>
  <x:c r="D101" i="6"/>
  <x:c r="D102" i="6"/>
  <x:c r="D103" i="6"/>
  <x:c r="D104" i="6"/>
  <x:c r="D105" i="6"/>
  <x:c r="D106" i="6"/>
  <x:c r="D107" i="6"/>
  <x:c r="D108" i="6"/>
  <x:c r="D109" i="6"/>
  <x:c r="D110" i="6"/>
  <x:c r="D111" i="6"/>
  <x:c r="D112" i="6"/>
</x:calcChain>
</file>

<file path=xl/sharedStrings.xml><?xml version="1.0" encoding="utf-8"?>
<sst xmlns="http://schemas.openxmlformats.org/spreadsheetml/2006/main" uniqueCount="125">
  <si>
    <t>LSEG ESG Statement - AFRY AB (AFRY.ST)</t>
  </si>
  <si>
    <t>Summary Score</t>
  </si>
  <si>
    <t>Enter RIC</t>
  </si>
  <si>
    <t>AFRY.ST@RIC</t>
  </si>
  <si>
    <t>Company Name</t>
  </si>
  <si>
    <t>Countries/ Region</t>
  </si>
  <si>
    <t>TRBC Economic Sector</t>
  </si>
  <si>
    <t>TRBC Industry Group</t>
  </si>
  <si>
    <t>Number Of Periods</t>
  </si>
  <si>
    <t>Latest data to the</t>
  </si>
  <si>
    <t>Left</t>
  </si>
  <si>
    <t>Currency</t>
  </si>
  <si>
    <t>NATIVE</t>
  </si>
  <si>
    <t>Time Series Formula (Do not change)</t>
  </si>
  <si>
    <t>Environment</t>
  </si>
  <si>
    <t>ESG Score Component</t>
  </si>
  <si>
    <t>Category</t>
  </si>
  <si>
    <t>No</t>
  </si>
  <si>
    <t>Resource Use</t>
  </si>
  <si>
    <t>Yes</t>
  </si>
  <si>
    <t>Emissions</t>
  </si>
  <si>
    <t>Environmental Innovation</t>
  </si>
  <si>
    <t>Social</t>
  </si>
  <si>
    <t>Workforce</t>
  </si>
  <si>
    <t>Human Rights</t>
  </si>
  <si>
    <t>Community</t>
  </si>
  <si>
    <t>Product Responsibility</t>
  </si>
  <si>
    <t>Governance</t>
  </si>
  <si>
    <t>Management</t>
  </si>
  <si>
    <t>Shareholders</t>
  </si>
  <si>
    <t>CSR Strategy</t>
  </si>
  <si>
    <t>Controversies</t>
  </si>
  <si>
    <t>FY</t>
  </si>
  <si>
    <t>Recent</t>
  </si>
  <si>
    <t>Year To Date Controversies</t>
  </si>
  <si>
    <t>Detailed Controversies</t>
  </si>
  <si>
    <t>Ticker</t>
  </si>
  <si>
    <t>Starting FY</t>
  </si>
  <si>
    <t>FY-3</t>
  </si>
  <si>
    <t>Ending FY</t>
  </si>
  <si>
    <t>FY0</t>
  </si>
  <si>
    <t>Metric</t>
  </si>
  <si>
    <t>Business Ethics Controversies</t>
  </si>
  <si>
    <t>Pillar</t>
  </si>
  <si>
    <t>Formula Row Below(do not change)</t>
  </si>
  <si>
    <t>Source Date</t>
  </si>
  <si>
    <t>Title</t>
  </si>
  <si>
    <t>Abstract</t>
  </si>
  <si>
    <t>Publisher</t>
  </si>
  <si>
    <t>URL</t>
  </si>
  <si>
    <t>Data Items</t>
  </si>
  <si>
    <t>SLNO</t>
  </si>
  <si>
    <t>Name</t>
  </si>
  <si>
    <t>Description</t>
  </si>
  <si>
    <t>SectorSpecific</t>
  </si>
  <si>
    <t>Anti-Competition Controversy</t>
  </si>
  <si>
    <t>TR.ControvAntiCompetition</t>
  </si>
  <si>
    <t>Number of controversies published in the media linked to anti-competitive behavior (e.g., anti-trust and monopoly), price-fixing or kickbacks.</t>
  </si>
  <si>
    <t>N</t>
  </si>
  <si>
    <t>TR.ControvBusinessEthics</t>
  </si>
  <si>
    <t>Number of controversies published in the media linked to business ethics in general, political contributions or bribery and corruption.</t>
  </si>
  <si>
    <t>Intellectual Property Controversies</t>
  </si>
  <si>
    <t>TR.ControvCopyrights</t>
  </si>
  <si>
    <t>Number of controversies published in the media linked to patents and intellectual property infringements.</t>
  </si>
  <si>
    <t>Critical Countries Controversies</t>
  </si>
  <si>
    <t>TR.ControvCriticalCountries</t>
  </si>
  <si>
    <t>Number of controversies published in the media linked to activities in critical, undemocratic countries that do not respect fundamental human rights principles.</t>
  </si>
  <si>
    <t>Public Health Controversies</t>
  </si>
  <si>
    <t>TR.ControvPublicHealth</t>
  </si>
  <si>
    <t>Number of controversies published in the media linked to public health or industrial accidents harming the health &amp; safety of third parties (non-employees and non-customers).</t>
  </si>
  <si>
    <t>Tax Fraud Controversies</t>
  </si>
  <si>
    <t>TR.ControvTaxFraud</t>
  </si>
  <si>
    <t>Number of controversies published in the media linked to tax fraud, parallel imports or money laundering.</t>
  </si>
  <si>
    <t>Child Labor Controversies</t>
  </si>
  <si>
    <t>TR.ControvChildLabor</t>
  </si>
  <si>
    <t>Number of controversies published in the media linked to use of child labor issues.</t>
  </si>
  <si>
    <t>Human Rights Controversies</t>
  </si>
  <si>
    <t>TR.ControvHumanRights</t>
  </si>
  <si>
    <t>Number of controversies published in the media linked to human rights issues.</t>
  </si>
  <si>
    <t>Consumer Controversies</t>
  </si>
  <si>
    <t>TR.ControvConsumer</t>
  </si>
  <si>
    <t>Number of controversies published in the media linked to consumer complaints or dissatisfaction directly linked to the company's products or services.</t>
  </si>
  <si>
    <t>Controversies Customer Health &amp; Safety</t>
  </si>
  <si>
    <t>TR.ControvCustomerHS</t>
  </si>
  <si>
    <t>Number of controversies published in the media linked to customer health &amp; safety.</t>
  </si>
  <si>
    <t>Controversies Privacy</t>
  </si>
  <si>
    <t>TR.ControvPrivacy</t>
  </si>
  <si>
    <t>Number of controversies published in the media linked to employee or customer privacy and integrity.</t>
  </si>
  <si>
    <t>Controversies Product Access</t>
  </si>
  <si>
    <t>TR.ControvProductAccess</t>
  </si>
  <si>
    <t>Number of controversies published in the media linked to product access.</t>
  </si>
  <si>
    <t>Controversies Responsible Marketing</t>
  </si>
  <si>
    <t>TR.ControvRespMarketing</t>
  </si>
  <si>
    <t>Number of controversies published in the media linked to the company's marketing practices, such as over marketing of unhealthy food to vulnerable consumers.</t>
  </si>
  <si>
    <t>Controversies Responsible R&amp;D</t>
  </si>
  <si>
    <t>TR.ControvResponsibleRD</t>
  </si>
  <si>
    <t>Number of controversies published in the media linked to responsible R &amp; D.</t>
  </si>
  <si>
    <t>Diversity and Opportunity Controversies</t>
  </si>
  <si>
    <t>TR.ControvDiversityOpportunity</t>
  </si>
  <si>
    <t>Number of controversies published in the media linked to workforce diversity and opportunity (e.g., wages, promotion, discrimination and harassment).</t>
  </si>
  <si>
    <t>Employees Health &amp; Safety Controversies</t>
  </si>
  <si>
    <t>TR.ControvEmployeesHS</t>
  </si>
  <si>
    <t>Number of controversies published in the media linked to workforce health and safety.</t>
  </si>
  <si>
    <t>Wages Working Condition Controversies  Count</t>
  </si>
  <si>
    <t>TR.ControvWorkingCondition</t>
  </si>
  <si>
    <t>Number of controversies published in the media linked to the company's relations with employees or relating to wages or wage disputes.</t>
  </si>
  <si>
    <t>Management Departures</t>
  </si>
  <si>
    <t>TR.MgtDepartures</t>
  </si>
  <si>
    <t>Has an important executive management team member or a key team member announced a voluntary departure (other than for retirement) or has been ousted?</t>
  </si>
  <si>
    <t>Mgt Compensation Controversies Count</t>
  </si>
  <si>
    <t>TR.ControvMgtComp</t>
  </si>
  <si>
    <t>Number of controversies published in the media linked to high executive or board compensation.</t>
  </si>
  <si>
    <t>Accounting Controversies Count</t>
  </si>
  <si>
    <t>TR.ControvAccounting</t>
  </si>
  <si>
    <t>Number of controversies published in the media linked to aggressive or non-transparent accounting issues.</t>
  </si>
  <si>
    <t>Insider Dealings Controversies Count</t>
  </si>
  <si>
    <t>TR.ControvInsiderDealings</t>
  </si>
  <si>
    <t>Number of controversies published in the media linked to insider dealings and other share price manipulations.</t>
  </si>
  <si>
    <t>Shareholder Rights Controversies Count</t>
  </si>
  <si>
    <t>TR.ControvShareholders</t>
  </si>
  <si>
    <t>Number of controversies linked to shareholder rights infringements published in the media.</t>
  </si>
  <si>
    <t>Environmental Controversies</t>
  </si>
  <si>
    <t>Environmental</t>
  </si>
  <si>
    <t>TR.ControvEnv</t>
  </si>
  <si>
    <t>Number of controversies related to the environmental impact of the company's operations on natural resources or local communities.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</si>
</sst>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fonts count="6">
    <font>
      <sz val="11"/>
      <name val="Calibri"/>
      <charset val="0"/>
      <color rgb="FF000000"/>
    </font>
    <font>
      <sz val="8"/>
      <name val="Arial"/>
      <charset val="0"/>
      <color rgb="FF000000"/>
    </font>
    <font>
      <sz val="24"/>
      <name val="Arial"/>
      <charset val="0"/>
      <color rgb="FF001DFF"/>
    </font>
    <font>
      <sz val="8"/>
      <name val="Arial"/>
      <charset val="0"/>
      <color rgb="FF001DFF"/>
    </font>
    <font>
      <sz val="11"/>
      <name val="Calibri"/>
      <charset val="0"/>
      <color rgb="FF000000"/>
    </font>
    <font>
      <b/>
      <sz val="8"/>
      <name val="Arial"/>
      <charset val="0"/>
      <color rgb="FFFFFFFF"/>
    </font>
  </fonts>
  <fills count="6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none">
        <bgColor indexed="65"/>
      </patternFill>
    </fill>
    <fill>
      <patternFill patternType="solid">
        <fgColor rgb="FFFFFFFF"/>
        <bgColor rgb="FFFFFFFF"/>
      </patternFill>
    </fill>
    <fill>
      <patternFill patternType="solid">
        <fgColor rgb="FF001DFF"/>
        <bgColor rgb="FF001DFF"/>
      </patternFill>
    </fill>
    <fill>
      <patternFill patternType="solid">
        <fgColor rgb="FFD9D9D9"/>
        <bgColor rgb="FFD9D9D9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2" borderId="0" applyAlignment="0" applyNumberFormat="0"/>
    <xf numFmtId="0" fontId="1" fillId="3" borderId="0" applyAlignment="0" applyNumberFormat="0"/>
    <xf numFmtId="0" fontId="2" fillId="3" borderId="0" applyAlignment="0" applyNumberFormat="0"/>
    <xf numFmtId="0" fontId="3" fillId="3" borderId="0" applyAlignment="0" applyNumberFormat="0"/>
    <xf numFmtId="0" fontId="5" fillId="4" borderId="0" applyAlignment="0" applyNumberFormat="0"/>
    <xf numFmtId="2" fontId="1" fillId="3" borderId="1" applyAlignment="0" applyNumberFormat="0"/>
    <xf numFmtId="0" fontId="1" fillId="5" borderId="0" applyAlignment="0" applyNumberFormat="0"/>
    <xf numFmtId="0" fontId="1" fillId="3" borderId="0" applyAlignment="0" applyNumberFormat="0"/>
    <xf numFmtId="0" fontId="1" fillId="3" borderId="1" applyAlignment="0" applyNumberFormat="0"/>
  </cellStyleXfs>
  <cellXfs>
    <xf numFmtId="0" fontId="0" fillId="2" borderId="0" xfId="0" applyAlignment="1" applyFont="1" applyNumberFormat="1" applyFill="1" applyProtection="1"/>
    <xf numFmtId="0" fontId="1" fillId="3" borderId="0" xfId="0" applyAlignment="1" applyFont="1" applyNumberFormat="1" applyFill="1" applyProtection="1"/>
    <xf numFmtId="0" fontId="2" fillId="3" borderId="0" xfId="0" applyAlignment="1" applyFont="1" applyNumberFormat="1" applyFill="1" applyProtection="1">
      <alignment vertical="center"/>
    </xf>
    <xf numFmtId="0" fontId="3" fillId="3" borderId="0" xfId="0" applyAlignment="1" applyFont="1" applyNumberFormat="1" applyFill="1" applyProtection="1">
      <alignment vertical="center"/>
    </xf>
    <xf numFmtId="0" fontId="5" fillId="4" borderId="0" xfId="0" applyAlignment="1" applyFont="1" applyNumberFormat="1" applyFill="1" applyProtection="1">
      <alignment horizontal="left"/>
    </xf>
    <xf numFmtId="2" fontId="1" fillId="3" borderId="1" xfId="0" applyAlignment="1" applyBorder="1" applyFont="1" applyNumberFormat="1" applyFill="1" applyProtection="1">
      <alignment horizontal="left"/>
    </xf>
    <xf numFmtId="0" fontId="1" fillId="5" borderId="0" xfId="0" applyAlignment="1" applyFont="1" applyNumberFormat="1" applyFill="1" applyProtection="1">
      <alignment horizontal="left"/>
    </xf>
    <xf numFmtId="0" fontId="1" fillId="3" borderId="0" xfId="0" applyAlignment="1" applyFont="1" applyNumberFormat="1" applyFill="1" applyProtection="1">
      <alignment horizontal="left"/>
    </xf>
    <xf numFmtId="0" fontId="1" fillId="3" borderId="1" xfId="0" applyAlignment="1" applyBorder="1" applyFont="1" applyNumberFormat="1" applyFill="1" applyProtection="1">
      <alignment horizontal="left"/>
    </xf>
    <xf numFmtId="0" fontId="1" fillId="3" borderId="1" xfId="0" applyAlignment="1" applyBorder="1" applyFont="1" applyNumberFormat="1" applyFill="1" applyProtection="1"/>
    <xf numFmtId="0" fontId="0" fillId="2" borderId="0" xfId="0" applyAlignment="1" applyNumberFormat="1"/>
  </cellXfs>
  <cellStyles count="1">
    <cellStyle name="Normal" xfId="0" builtinId="0"/>
  </cellStyles>
  <tableStyles count="0" defaultTableStyle="" defaultPivotStyle=""/>
</styleSheet>
</file>

<file path=xl/_rels/workbook.xml.rels><?xml version="1.0" encoding="utf-8" standalone="yes"?><Relationships xmlns="http://schemas.openxmlformats.org/package/2006/relationships"><Relationship Id="rId9" Type="http://schemas.openxmlformats.org/officeDocument/2006/relationships/sharedStrings" Target="sharedStrings.xml" /><Relationship Id="rId10" Type="http://schemas.openxmlformats.org/officeDocument/2006/relationships/styles" Target="styles.xml" /><Relationship Id="rId8" Type="http://schemas.openxmlformats.org/officeDocument/2006/relationships/worksheet" Target="worksheets/sheet7.xml" /><Relationship Id="rId7" Type="http://schemas.openxmlformats.org/officeDocument/2006/relationships/worksheet" Target="worksheets/sheet6.xml" /><Relationship Id="rId6" Type="http://schemas.openxmlformats.org/officeDocument/2006/relationships/worksheet" Target="worksheets/sheet5.xml" /><Relationship Id="rId5" Type="http://schemas.openxmlformats.org/officeDocument/2006/relationships/worksheet" Target="worksheets/sheet4.xml" /><Relationship Id="rId4" Type="http://schemas.openxmlformats.org/officeDocument/2006/relationships/worksheet" Target="worksheets/sheet3.xml" /><Relationship Id="rId3" Type="http://schemas.openxmlformats.org/officeDocument/2006/relationships/worksheet" Target="worksheets/sheet2.xml" /><Relationship Id="rId2" Type="http://schemas.openxmlformats.org/officeDocument/2006/relationships/worksheet" Target="worksheets/sheet1.xml" /><Relationship Id="rId11" Type="http://schemas.openxmlformats.org/officeDocument/2006/relationships/calcChain" Target="/xl/calcChain.xml" /><Relationship Id="rId12" Type="http://schemas.openxmlformats.org/officeDocument/2006/relationships/theme" Target="/xl/theme/theme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/xl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/xl/media/image1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/xl/media/image1.pn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/xl/media/image1.png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/xl/media/image1.png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/xl/media/image1.png" 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/xl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686050" cy="495300"/>
    <xdr:pic>
      <xdr:nvPicPr>
        <xdr:cNvPr id="1" name="Picture0"/>
        <xdr:cNvPicPr>
          <a:picLocks noChangeAspect="1"/>
        </xdr:cNvPicPr>
      </xdr:nvPicPr>
      <xdr:blipFill>
        <a:blip xmlns:d5p1="http://schemas.openxmlformats.org/officeDocument/2006/relationships" d5p1:embed="rId1"/>
        <a:stretch>
          <a:fillRect/>
        </a:stretch>
      </xdr:blipFill>
      <xdr:spPr>
        <a:xfrm>
          <a:off x="0" y="1"/>
          <a:ext cx="2076450" cy="155733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686050" cy="495300"/>
    <xdr:pic>
      <xdr:nvPicPr>
        <xdr:cNvPr id="2" name="Picture0"/>
        <xdr:cNvPicPr>
          <a:picLocks noChangeAspect="1"/>
        </xdr:cNvPicPr>
      </xdr:nvPicPr>
      <xdr:blipFill>
        <a:blip xmlns:d5p1="http://schemas.openxmlformats.org/officeDocument/2006/relationships" d5p1:embed="rId1"/>
        <a:stretch>
          <a:fillRect/>
        </a:stretch>
      </xdr:blipFill>
      <xdr:spPr>
        <a:xfrm>
          <a:off x="0" y="1"/>
          <a:ext cx="2076450" cy="155733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686050" cy="495300"/>
    <xdr:pic>
      <xdr:nvPicPr>
        <xdr:cNvPr id="3" name="Picture0"/>
        <xdr:cNvPicPr>
          <a:picLocks noChangeAspect="1"/>
        </xdr:cNvPicPr>
      </xdr:nvPicPr>
      <xdr:blipFill>
        <a:blip xmlns:d5p1="http://schemas.openxmlformats.org/officeDocument/2006/relationships" d5p1:embed="rId1"/>
        <a:stretch>
          <a:fillRect/>
        </a:stretch>
      </xdr:blipFill>
      <xdr:spPr>
        <a:xfrm>
          <a:off x="0" y="1"/>
          <a:ext cx="2076450" cy="155733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686050" cy="495300"/>
    <xdr:pic>
      <xdr:nvPicPr>
        <xdr:cNvPr id="4" name="Picture0"/>
        <xdr:cNvPicPr>
          <a:picLocks noChangeAspect="1"/>
        </xdr:cNvPicPr>
      </xdr:nvPicPr>
      <xdr:blipFill>
        <a:blip xmlns:d5p1="http://schemas.openxmlformats.org/officeDocument/2006/relationships" d5p1:embed="rId1"/>
        <a:stretch>
          <a:fillRect/>
        </a:stretch>
      </xdr:blipFill>
      <xdr:spPr>
        <a:xfrm>
          <a:off x="0" y="1"/>
          <a:ext cx="2076450" cy="1557338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686050" cy="495300"/>
    <xdr:pic>
      <xdr:nvPicPr>
        <xdr:cNvPr id="5" name="Picture0"/>
        <xdr:cNvPicPr>
          <a:picLocks noChangeAspect="1"/>
        </xdr:cNvPicPr>
      </xdr:nvPicPr>
      <xdr:blipFill>
        <a:blip xmlns:d5p1="http://schemas.openxmlformats.org/officeDocument/2006/relationships" d5p1:embed="rId1"/>
        <a:stretch>
          <a:fillRect/>
        </a:stretch>
      </xdr:blipFill>
      <xdr:spPr>
        <a:xfrm>
          <a:off x="0" y="1"/>
          <a:ext cx="2076450" cy="1557338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686050" cy="495300"/>
    <xdr:pic>
      <xdr:nvPicPr>
        <xdr:cNvPr id="6" name="Picture0"/>
        <xdr:cNvPicPr>
          <a:picLocks noChangeAspect="1"/>
        </xdr:cNvPicPr>
      </xdr:nvPicPr>
      <xdr:blipFill>
        <a:blip xmlns:d5p1="http://schemas.openxmlformats.org/officeDocument/2006/relationships" d5p1:embed="rId1"/>
        <a:stretch>
          <a:fillRect/>
        </a:stretch>
      </xdr:blipFill>
      <xdr:spPr>
        <a:xfrm>
          <a:off x="0" y="1"/>
          <a:ext cx="2076450" cy="1557338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686050" cy="495300"/>
    <xdr:pic>
      <xdr:nvPicPr>
        <xdr:cNvPr id="7" name="Picture0"/>
        <xdr:cNvPicPr>
          <a:picLocks noChangeAspect="1"/>
        </xdr:cNvPicPr>
      </xdr:nvPicPr>
      <xdr:blipFill>
        <a:blip xmlns:d5p1="http://schemas.openxmlformats.org/officeDocument/2006/relationships" d5p1:embed="rId1"/>
        <a:stretch>
          <a:fillRect/>
        </a:stretch>
      </xdr:blipFill>
      <xdr:spPr>
        <a:xfrm>
          <a:off x="0" y="1"/>
          <a:ext cx="2076450" cy="1557338"/>
        </a:xfrm>
        <a:prstGeom prst="rect">
          <a:avLst/>
        </a:prstGeom>
      </xdr:spPr>
    </xdr:pic>
    <xdr:clientData/>
  </xdr:one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/xl/drawings/drawing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/xl/drawings/drawing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/xl/drawings/drawing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/xl/drawings/drawing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/xl/drawings/drawing5.xml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/xl/drawings/drawing6.xml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/xl/drawings/drawing7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pageSetUpPr fitToPage="1"/>
  </sheetPr>
  <dimension ref="B2:G28"/>
  <sheetViews>
    <sheetView view="normal" workbookViewId="0">
      <selection pane="topLeft" activeCell="A1" sqref="A1"/>
    </sheetView>
  </sheetViews>
  <sheetFormatPr defaultRowHeight="15" baseColWidth="0"/>
  <cols>
    <col min="1" max="1" width="1.7109375" style="0" customWidth="1"/>
    <col min="2" max="2" width="40.7109375" style="0" customWidth="1"/>
    <col min="3" max="7" width="15.7109375" style="0" customWidth="1"/>
  </cols>
  <sheetData>
    <row r="2" spans="2:7" s="10" customFormat="1" ht="45" customHeight="1">
      <c r="B2"/>
      <c r="C2" s="1"/>
      <c r="D2" s="1"/>
      <c r="E2" s="1"/>
      <c r="F2" s="1"/>
      <c r="G2" s="1"/>
    </row>
    <row r="3" spans="2:7" s="10" customFormat="1" ht="130.5" customHeight="1">
      <c r="B3" s="2" t="s">
        <v>0</v>
      </c>
      <c r="C3" s="3"/>
      <c r="D3" s="3"/>
      <c r="E3" s="3"/>
      <c r="F3" s="3"/>
      <c r="G3" s="3"/>
    </row>
    <row r="4" spans="2:7" s="10" customFormat="1" ht="40" customHeight="1">
      <c r="B4" s="2" t="s">
        <v>1</v>
      </c>
      <c r="C4" s="3"/>
      <c r="D4" s="3"/>
      <c r="E4" s="3"/>
      <c r="F4" s="3"/>
      <c r="G4" s="3"/>
    </row>
    <row r="5" spans="2:7" s="10" ht="15">
      <c r="B5" s="1" t="s">
        <v>2</v>
      </c>
      <c r="C5" s="1" t="s">
        <v>3</v>
      </c>
      <c r="D5" s="1"/>
      <c r="E5" s="1"/>
      <c r="F5" s="1"/>
      <c r="G5" s="1"/>
    </row>
    <row r="6" spans="2:7" s="10" ht="15">
      <c r="B6" s="1" t="s">
        <v>4</v>
      </c>
      <c r="C6" s="1">
        <f>TR(C5,"TR.InstrumentDescription","NULL=BLANK")</f>
        <v>0</v>
      </c>
      <c r="D6" s="1"/>
      <c r="E6" s="1"/>
      <c r="F6" s="1"/>
      <c r="G6" s="1"/>
    </row>
    <row r="7" spans="2:7" s="10" ht="15">
      <c r="B7" s="1" t="s">
        <v>5</v>
      </c>
      <c r="C7" s="1">
        <f>TR(C5,"TR.HeadquartersCountry","NULL=BLANK")</f>
        <v>0</v>
      </c>
      <c r="D7" s="1"/>
      <c r="E7" s="1"/>
      <c r="F7" s="1"/>
      <c r="G7" s="1"/>
    </row>
    <row r="8" spans="2:7" s="10" ht="15">
      <c r="B8" s="1" t="s">
        <v>6</v>
      </c>
      <c r="C8" s="1">
        <f>TR(C5,"TR.GICSSector","NULL=BLANK")</f>
        <v>0</v>
      </c>
      <c r="D8" s="1"/>
      <c r="E8" s="1"/>
      <c r="F8" s="1"/>
      <c r="G8" s="1"/>
    </row>
    <row r="9" spans="2:7" s="10" ht="15">
      <c r="B9" s="1" t="s">
        <v>7</v>
      </c>
      <c r="C9" s="1">
        <f>TR(C5,"TR.TRBCIndustryGroup","NULL=BLANK")</f>
        <v>0</v>
      </c>
      <c r="D9" s="1"/>
      <c r="E9" s="1"/>
      <c r="F9" s="1"/>
      <c r="G9" s="1"/>
    </row>
    <row r="10" spans="2:7" s="10" ht="15">
      <c r="B10" s="1" t="s">
        <v>8</v>
      </c>
      <c r="C10" s="1">
        <v>5</v>
      </c>
      <c r="D10" s="1"/>
      <c r="E10" s="1"/>
      <c r="F10" s="1"/>
      <c r="G10" s="1"/>
    </row>
    <row r="11" spans="2:7" s="10" ht="15">
      <c r="B11" s="1" t="s">
        <v>9</v>
      </c>
      <c r="C11" s="1" t="s">
        <v>10</v>
      </c>
      <c r="D11" s="1"/>
      <c r="E11" s="1"/>
      <c r="F11" s="1"/>
      <c r="G11" s="1"/>
    </row>
    <row r="12" spans="2:7" s="10" ht="15">
      <c r="B12" s="1" t="s">
        <v>11</v>
      </c>
      <c r="C12" s="1" t="s">
        <v>12</v>
      </c>
      <c r="D12" s="1"/>
      <c r="E12" s="1"/>
      <c r="F12" s="1"/>
      <c r="G12" s="1"/>
    </row>
    <row r="13" spans="2:7" s="10" ht="15">
      <c r="B13" s="1" t="s">
        <v>13</v>
      </c>
      <c r="C13" s="1">
        <f>IF(C11="Left","Period=FY0 Sdate=0FY Edate=-"&amp;C10-1&amp;"FY FRQ=FY","Period=FY0 Sdate=-"&amp;C10-1&amp;"FY Edate=0FY FRQ=FY")</f>
        <v>0</v>
      </c>
      <c r="D13" s="1"/>
      <c r="E13" s="1"/>
      <c r="F13" s="1"/>
      <c r="G13" s="1"/>
    </row>
    <row r="14" spans="2:7" s="10" ht="15">
      <c r="B14" s="1"/>
      <c r="C14" s="1"/>
      <c r="D14" s="1"/>
      <c r="E14" s="1"/>
      <c r="F14" s="1"/>
      <c r="G14" s="1"/>
    </row>
    <row r="15" spans="2:7" s="10" ht="15">
      <c r="B15" s="4">
        <f>TR(C5,"TR.TRESGSCORE.Periodenddate","#1 transpose:y NULL=BLANK",INDIRECT(ADDRESS(ROW(),COLUMN()+1)&amp;":"&amp;ADDRESS(ROW(),COLUMN()+100)),C13)</f>
        <v>0</v>
      </c>
      <c r="C15" s="4"/>
      <c r="D15" s="4"/>
      <c r="E15" s="4"/>
      <c r="F15" s="4"/>
      <c r="G15" s="4"/>
    </row>
    <row r="16" spans="2:7" s="10" ht="15">
      <c r="B16" s="5">
        <f>TR(C5,"TR.TRESGCScore","#1 curn=#2 scale=6 ch:fd transpose:y NULL=BLANK",,C13,C12)</f>
        <v>0</v>
      </c>
      <c r="C16" s="5"/>
      <c r="D16" s="5"/>
      <c r="E16" s="5"/>
      <c r="F16" s="5"/>
      <c r="G16" s="5"/>
    </row>
    <row r="17" spans="2:7" s="10" ht="15">
      <c r="B17" s="5">
        <f>TR(C5,"TR.TRESGScore","#1 curn=#2 scale=6 ch:fd transpose:y NULL=BLANK",,C13,C12)</f>
        <v>0</v>
      </c>
      <c r="C17" s="5"/>
      <c r="D17" s="5"/>
      <c r="E17" s="5"/>
      <c r="F17" s="5"/>
      <c r="G17" s="5"/>
    </row>
    <row r="18" spans="2:7" s="10" ht="15">
      <c r="B18" s="5">
        <f>TR(C5,"TR.TRESGCControversiesScore","#1 curn=#2 scale=6 ch:fd transpose:y NULL=BLANK",,C13,C12)</f>
        <v>0</v>
      </c>
      <c r="C18" s="5"/>
      <c r="D18" s="5"/>
      <c r="E18" s="5"/>
      <c r="F18" s="5"/>
      <c r="G18" s="5"/>
    </row>
    <row r="19" spans="2:7" s="10" ht="15">
      <c r="B19" s="5">
        <f>TR(C5,"TR.TRESGEmissionsScore","#1 curn=#2 scale=6 ch:fd transpose:y NULL=BLANK",,C13,C12)</f>
        <v>0</v>
      </c>
      <c r="C19" s="5"/>
      <c r="D19" s="5"/>
      <c r="E19" s="5"/>
      <c r="F19" s="5"/>
      <c r="G19" s="5"/>
    </row>
    <row r="20" spans="2:7" s="10" ht="15">
      <c r="B20" s="5">
        <f>TR(C5,"TR.TRESGInnovationScore","#1 curn=#2 scale=6 ch:fd transpose:y NULL=BLANK",,C13,C12)</f>
        <v>0</v>
      </c>
      <c r="C20" s="5"/>
      <c r="D20" s="5"/>
      <c r="E20" s="5"/>
      <c r="F20" s="5"/>
      <c r="G20" s="5"/>
    </row>
    <row r="21" spans="2:7" s="10" ht="15">
      <c r="B21" s="5">
        <f>TR(C5,"TR.TRESGResourceUseScore","#1 curn=#2 scale=6 ch:fd transpose:y NULL=BLANK",,C13,C12)</f>
        <v>0</v>
      </c>
      <c r="C21" s="5"/>
      <c r="D21" s="5"/>
      <c r="E21" s="5"/>
      <c r="F21" s="5"/>
      <c r="G21" s="5"/>
    </row>
    <row r="22" spans="2:7" s="10" ht="15">
      <c r="B22" s="5">
        <f>TR(C5,"TR.TRESGCommunityScore","#1 curn=#2 scale=6 ch:fd transpose:y NULL=BLANK",,C13,C12)</f>
        <v>0</v>
      </c>
      <c r="C22" s="5"/>
      <c r="D22" s="5"/>
      <c r="E22" s="5"/>
      <c r="F22" s="5"/>
      <c r="G22" s="5"/>
    </row>
    <row r="23" spans="2:7" s="10" ht="15">
      <c r="B23" s="5">
        <f>TR(C5,"TR.TRESGHumanRightsScore","#1 curn=#2 scale=6 ch:fd transpose:y NULL=BLANK",,C13,C12)</f>
        <v>0</v>
      </c>
      <c r="C23" s="5"/>
      <c r="D23" s="5"/>
      <c r="E23" s="5"/>
      <c r="F23" s="5"/>
      <c r="G23" s="5"/>
    </row>
    <row r="24" spans="2:7" s="10" ht="15">
      <c r="B24" s="5">
        <f>TR(C5,"TR.TRESGProductResponsibilityScore","#1 curn=#2 scale=6 ch:fd transpose:y NULL=BLANK",,C13,C12)</f>
        <v>0</v>
      </c>
      <c r="C24" s="5"/>
      <c r="D24" s="5"/>
      <c r="E24" s="5"/>
      <c r="F24" s="5"/>
      <c r="G24" s="5"/>
    </row>
    <row r="25" spans="2:7" s="10" ht="15">
      <c r="B25" s="5">
        <f>TR(C5,"TR.TRESGWorkforceScore","#1 curn=#2 scale=6 ch:fd transpose:y NULL=BLANK",,C13,C12)</f>
        <v>0</v>
      </c>
      <c r="C25" s="5"/>
      <c r="D25" s="5"/>
      <c r="E25" s="5"/>
      <c r="F25" s="5"/>
      <c r="G25" s="5"/>
    </row>
    <row r="26" spans="2:7" s="10" ht="15">
      <c r="B26" s="5">
        <f>TR(C5,"TR.TRESGCSRStrategyScore","#1 curn=#2 scale=6 ch:fd transpose:y NULL=BLANK",,C13,C12)</f>
        <v>0</v>
      </c>
      <c r="C26" s="5"/>
      <c r="D26" s="5"/>
      <c r="E26" s="5"/>
      <c r="F26" s="5"/>
      <c r="G26" s="5"/>
    </row>
    <row r="27" spans="2:7" s="10" ht="15">
      <c r="B27" s="5">
        <f>TR(C5,"TR.TRESGManagementScore","#1 curn=#2 scale=6 ch:fd transpose:y NULL=BLANK",,C13,C12)</f>
        <v>0</v>
      </c>
      <c r="C27" s="5"/>
      <c r="D27" s="5"/>
      <c r="E27" s="5"/>
      <c r="F27" s="5"/>
      <c r="G27" s="5"/>
    </row>
    <row r="28" spans="2:7" s="10" ht="15">
      <c r="B28" s="5">
        <f>TR(C5,"TR.TRESGShareholdersScore","#1 curn=#2 scale=6 ch:fd transpose:y NULL=BLANK",,C13,C12)</f>
        <v>0</v>
      </c>
      <c r="C28" s="5"/>
      <c r="D28" s="5"/>
      <c r="E28" s="5"/>
      <c r="F28" s="5"/>
      <c r="G28" s="5"/>
    </row>
  </sheetData>
  <pageMargins left="0.5" right="0.5" top="1" bottom="1" header="0.5" footer="0.75"/>
  <pageSetup fitToHeight="0" orientation="portrait"/>
  <headerFooter/>
  <drawing r:id="rId1"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pageSetUpPr fitToPage="1"/>
  </sheetPr>
  <dimension ref="B1:I324"/>
  <sheetViews>
    <sheetView view="normal" workbookViewId="0">
      <selection pane="topLeft" activeCell="A1" sqref="A1"/>
    </sheetView>
  </sheetViews>
  <sheetFormatPr defaultRowHeight="15" baseColWidth="0"/>
  <cols>
    <col min="1" max="1" width="1.7109375" style="0" customWidth="1"/>
    <col min="2" max="4" width="40.7109375" style="0" customWidth="1"/>
    <col min="5" max="9" width="15.7109375" style="0" customWidth="1"/>
  </cols>
  <sheetData>
    <row r="1" spans="2:9" s="10" customFormat="1" ht="1" customHeight="1">
      <c r="B1"/>
      <c r="C1"/>
      <c r="D1"/>
      <c r="E1"/>
      <c r="F1"/>
      <c r="G1"/>
      <c r="H1"/>
      <c r="I1"/>
    </row>
    <row r="2" spans="2:9" s="10" customFormat="1" ht="45" customHeight="1">
      <c r="B2"/>
      <c r="C2" s="1"/>
      <c r="D2" s="1"/>
      <c r="E2" s="1"/>
      <c r="F2" s="1"/>
      <c r="G2" s="1"/>
      <c r="H2" s="1"/>
      <c r="I2" s="1"/>
    </row>
    <row r="3" spans="2:9" s="10" customFormat="1" ht="45" customHeight="1">
      <c r="B3" s="2" t="s">
        <v>0</v>
      </c>
      <c r="C3" s="3"/>
      <c r="D3" s="3"/>
      <c r="E3" s="3"/>
      <c r="F3" s="3"/>
      <c r="G3" s="3"/>
      <c r="H3" s="3"/>
      <c r="I3" s="3"/>
    </row>
    <row r="4" spans="2:9" s="10" customFormat="1" ht="45" customHeight="1">
      <c r="B4" s="2" t="s">
        <v>14</v>
      </c>
      <c r="C4" s="3"/>
      <c r="D4" s="3"/>
      <c r="E4" s="3"/>
      <c r="F4" s="3"/>
      <c r="G4" s="3"/>
      <c r="H4" s="3"/>
      <c r="I4" s="3"/>
    </row>
    <row r="5" spans="2:9" s="10" ht="15">
      <c r="B5" s="1" t="s">
        <v>2</v>
      </c>
      <c r="C5" s="1" t="s">
        <v>3</v>
      </c>
      <c r="D5" s="1"/>
      <c r="E5" s="1"/>
      <c r="F5" s="1"/>
      <c r="G5" s="1"/>
      <c r="H5" s="1"/>
      <c r="I5" s="1"/>
    </row>
    <row r="6" spans="2:9" s="10" ht="15">
      <c r="B6" s="1" t="s">
        <v>4</v>
      </c>
      <c r="C6" s="1">
        <f>TR(C5,"TR.InstrumentDescription","NULL=BLANK")</f>
        <v>0</v>
      </c>
      <c r="D6" s="1"/>
      <c r="E6" s="1"/>
      <c r="F6" s="1"/>
      <c r="G6" s="1"/>
      <c r="H6" s="1"/>
      <c r="I6" s="1"/>
    </row>
    <row r="7" spans="2:9" s="10" ht="15">
      <c r="B7" s="1" t="s">
        <v>5</v>
      </c>
      <c r="C7" s="1">
        <f>TR(C5,"TR.HeadquartersCountry","NULL=BLANK")</f>
        <v>0</v>
      </c>
      <c r="D7" s="1"/>
      <c r="E7" s="1"/>
      <c r="F7" s="1"/>
      <c r="G7" s="1"/>
      <c r="H7" s="1"/>
      <c r="I7" s="1"/>
    </row>
    <row r="8" spans="2:9" s="10" ht="15">
      <c r="B8" s="1" t="s">
        <v>6</v>
      </c>
      <c r="C8" s="1">
        <f>TR(C5,"TR.GICSSector","NULL=BLANK")</f>
        <v>0</v>
      </c>
      <c r="D8" s="1"/>
      <c r="E8" s="1"/>
      <c r="F8" s="1"/>
      <c r="G8" s="1"/>
      <c r="H8" s="1"/>
      <c r="I8" s="1"/>
    </row>
    <row r="9" spans="2:9" s="10" ht="15">
      <c r="B9" s="1" t="s">
        <v>7</v>
      </c>
      <c r="C9" s="1">
        <f>TR(C5,"TR.TRBCIndustryGroup","NULL=BLANK")</f>
        <v>0</v>
      </c>
      <c r="D9" s="1"/>
      <c r="E9" s="1"/>
      <c r="F9" s="1"/>
      <c r="G9" s="1"/>
      <c r="H9" s="1"/>
      <c r="I9" s="1"/>
    </row>
    <row r="10" spans="2:9" s="10" ht="15">
      <c r="B10" s="1" t="s">
        <v>8</v>
      </c>
      <c r="C10" s="1">
        <v>5</v>
      </c>
      <c r="D10" s="1"/>
      <c r="E10" s="1"/>
      <c r="F10" s="1"/>
      <c r="G10" s="1"/>
      <c r="H10" s="1"/>
      <c r="I10" s="1"/>
    </row>
    <row r="11" spans="2:9" s="10" ht="15">
      <c r="B11" s="1" t="s">
        <v>9</v>
      </c>
      <c r="C11" s="1" t="s">
        <v>10</v>
      </c>
      <c r="D11" s="1"/>
      <c r="E11" s="1"/>
      <c r="F11" s="1"/>
      <c r="G11" s="1"/>
      <c r="H11" s="1"/>
      <c r="I11" s="1"/>
    </row>
    <row r="12" spans="2:9" s="10" ht="15">
      <c r="B12" s="1" t="s">
        <v>11</v>
      </c>
      <c r="C12" s="1" t="s">
        <v>12</v>
      </c>
      <c r="D12" s="1"/>
      <c r="E12" s="1"/>
      <c r="F12" s="1"/>
      <c r="G12" s="1"/>
      <c r="H12" s="1"/>
      <c r="I12" s="1"/>
    </row>
    <row r="13" spans="2:9" s="10" ht="15">
      <c r="B13" s="1" t="s">
        <v>13</v>
      </c>
      <c r="C13" s="1">
        <f>IF(C11="Left","Period=FY0 Sdate=0FY Edate=-"&amp;C10-1&amp;"FY FRQ=FY","Period=FY0 Sdate=-"&amp;C10-1&amp;"FY Edate=0FY FRQ=FY")</f>
        <v>0</v>
      </c>
      <c r="D13" s="1"/>
      <c r="E13" s="1"/>
      <c r="F13" s="1"/>
      <c r="G13" s="1"/>
      <c r="H13" s="1"/>
      <c r="I13" s="1"/>
    </row>
    <row r="14" spans="2:9" s="10" ht="15">
      <c r="B14" s="1"/>
      <c r="C14" s="1"/>
      <c r="D14" s="1"/>
      <c r="E14" s="1"/>
      <c r="F14" s="1"/>
      <c r="G14" s="1"/>
      <c r="H14" s="1"/>
      <c r="I14" s="1"/>
    </row>
    <row r="15" spans="2:9" s="10" ht="15">
      <c r="B15" s="4" t="s">
        <v>15</v>
      </c>
      <c r="C15" s="4" t="s">
        <v>16</v>
      </c>
      <c r="D15" s="4">
        <f>TR(C5,"TR.TRESGSCORE.Periodenddate","#1 transpose:y NULL=BLANK",INDIRECT(ADDRESS(ROW(),COLUMN()+1)&amp;":"&amp;ADDRESS(ROW(),COLUMN()+100)),C13)</f>
        <v>0</v>
      </c>
      <c r="E15" s="4"/>
      <c r="F15" s="4"/>
      <c r="G15" s="4"/>
      <c r="H15" s="4"/>
      <c r="I15" s="4"/>
    </row>
    <row r="16" spans="2:9" s="10" ht="15">
      <c r="B16" s="6"/>
      <c r="C16" s="6" t="s">
        <v>1</v>
      </c>
      <c r="D16" s="6">
        <f>TR(C5,"TR.TRESGCScore","#1 curn=#2 Scale=2 ch:fd transpose:y NULL=BLANK",,C13,C12)</f>
        <v>0</v>
      </c>
      <c r="E16" s="6"/>
      <c r="F16" s="6"/>
      <c r="G16" s="6"/>
      <c r="H16" s="6"/>
      <c r="I16" s="6"/>
    </row>
    <row r="17" spans="2:9" s="10" ht="15">
      <c r="B17" s="6"/>
      <c r="C17" s="6" t="s">
        <v>1</v>
      </c>
      <c r="D17" s="6">
        <f>TR(C5,"TR.TRESGScore","#1 curn=#2 Scale=2 ch:fd transpose:y NULL=BLANK",,C13,C12)</f>
        <v>0</v>
      </c>
      <c r="E17" s="6"/>
      <c r="F17" s="6"/>
      <c r="G17" s="6"/>
      <c r="H17" s="6"/>
      <c r="I17" s="6"/>
    </row>
    <row r="18" spans="2:9" s="10" ht="15">
      <c r="B18" s="6"/>
      <c r="C18" s="6" t="s">
        <v>1</v>
      </c>
      <c r="D18" s="6">
        <f>TR(C5,"TR.TRESGCControversiesScore","#1 curn=#2 Scale=2 ch:fd transpose:y NULL=BLANK",,C13,C12)</f>
        <v>0</v>
      </c>
      <c r="E18" s="6"/>
      <c r="F18" s="6"/>
      <c r="G18" s="6"/>
      <c r="H18" s="6"/>
      <c r="I18" s="6"/>
    </row>
    <row r="19" spans="2:9" s="10" ht="15">
      <c r="B19" s="7" t="s">
        <v>17</v>
      </c>
      <c r="C19" s="7" t="s">
        <v>18</v>
      </c>
      <c r="D19" s="7">
        <f>TR(C5,"TR.AnalyticResourceRedPolicy","#1 curn=#2 Scale=2 ch:fd transpose:y NULL=BLANK",,C13,C12)</f>
        <v>0</v>
      </c>
      <c r="E19" s="7"/>
      <c r="F19" s="7"/>
      <c r="G19" s="7"/>
      <c r="H19" s="7"/>
      <c r="I19" s="7"/>
    </row>
    <row r="20" spans="2:9" s="10" ht="15">
      <c r="B20" s="7" t="s">
        <v>19</v>
      </c>
      <c r="C20" s="7" t="s">
        <v>18</v>
      </c>
      <c r="D20" s="7">
        <f>TR(C5,"TR.PolicyWaterEfficiency","#1 curn=#2 Scale=2 ch:fd transpose:y NULL=BLANK",,C13,C12)</f>
        <v>0</v>
      </c>
      <c r="E20" s="7"/>
      <c r="F20" s="7"/>
      <c r="G20" s="7"/>
      <c r="H20" s="7"/>
      <c r="I20" s="7"/>
    </row>
    <row r="21" spans="2:9" s="10" ht="15">
      <c r="B21" s="7" t="s">
        <v>19</v>
      </c>
      <c r="C21" s="7" t="s">
        <v>18</v>
      </c>
      <c r="D21" s="7">
        <f>TR(C5,"TR.PolicyEnergyEfficiency","#1 curn=#2 Scale=2 ch:fd transpose:y NULL=BLANK",,C13,C12)</f>
        <v>0</v>
      </c>
      <c r="E21" s="7"/>
      <c r="F21" s="7"/>
      <c r="G21" s="7"/>
      <c r="H21" s="7"/>
      <c r="I21" s="7"/>
    </row>
    <row r="22" spans="2:9" s="10" ht="15">
      <c r="B22" s="7" t="s">
        <v>19</v>
      </c>
      <c r="C22" s="7" t="s">
        <v>18</v>
      </c>
      <c r="D22" s="7">
        <f>TR(C5,"TR.PolicySustainablePackaging","#1 curn=#2 Scale=2 ch:fd transpose:y NULL=BLANK",,C13,C12)</f>
        <v>0</v>
      </c>
      <c r="E22" s="7"/>
      <c r="F22" s="7"/>
      <c r="G22" s="7"/>
      <c r="H22" s="7"/>
      <c r="I22" s="7"/>
    </row>
    <row r="23" spans="2:9" s="10" ht="15">
      <c r="B23" s="7" t="s">
        <v>19</v>
      </c>
      <c r="C23" s="7" t="s">
        <v>18</v>
      </c>
      <c r="D23" s="7">
        <f>TR(C5,"TR.PolicyEnvSupplyChain","#1 curn=#2 Scale=2 ch:fd transpose:y NULL=BLANK",,C13,C12)</f>
        <v>0</v>
      </c>
      <c r="E23" s="7"/>
      <c r="F23" s="7"/>
      <c r="G23" s="7"/>
      <c r="H23" s="7"/>
      <c r="I23" s="7"/>
    </row>
    <row r="24" spans="2:9" s="10" ht="15">
      <c r="B24" s="7" t="s">
        <v>17</v>
      </c>
      <c r="C24" s="7" t="s">
        <v>18</v>
      </c>
      <c r="D24" s="7">
        <f>TR(C5,"TR.AnalyticResourceRedTargets","#1 curn=#2 Scale=2 ch:fd transpose:y NULL=BLANK",,C13,C12)</f>
        <v>0</v>
      </c>
      <c r="E24" s="7"/>
      <c r="F24" s="7"/>
      <c r="G24" s="7"/>
      <c r="H24" s="7"/>
      <c r="I24" s="7"/>
    </row>
    <row r="25" spans="2:9" s="10" ht="15">
      <c r="B25" s="7" t="s">
        <v>19</v>
      </c>
      <c r="C25" s="7" t="s">
        <v>18</v>
      </c>
      <c r="D25" s="7">
        <f>TR(C5,"TR.TargetsWaterEfficiency","#1 curn=#2 Scale=2 ch:fd transpose:y NULL=BLANK",,C13,C12)</f>
        <v>0</v>
      </c>
      <c r="E25" s="7"/>
      <c r="F25" s="7"/>
      <c r="G25" s="7"/>
      <c r="H25" s="7"/>
      <c r="I25" s="7"/>
    </row>
    <row r="26" spans="2:9" s="10" ht="15">
      <c r="B26" s="7" t="s">
        <v>19</v>
      </c>
      <c r="C26" s="7" t="s">
        <v>18</v>
      </c>
      <c r="D26" s="7">
        <f>TR(C5,"TR.TargetsEnergyEfficiency","#1 curn=#2 Scale=2 ch:fd transpose:y NULL=BLANK",,C13,C12)</f>
        <v>0</v>
      </c>
      <c r="E26" s="7"/>
      <c r="F26" s="7"/>
      <c r="G26" s="7"/>
      <c r="H26" s="7"/>
      <c r="I26" s="7"/>
    </row>
    <row r="27" spans="2:9" s="10" ht="15">
      <c r="B27" s="7" t="s">
        <v>19</v>
      </c>
      <c r="C27" s="7" t="s">
        <v>18</v>
      </c>
      <c r="D27" s="7">
        <f>TR(C5,"TR.EnvMgtTeam","#1 curn=#2 Scale=2 ch:fd transpose:y NULL=BLANK",,C13,C12)</f>
        <v>0</v>
      </c>
      <c r="E27" s="7"/>
      <c r="F27" s="7"/>
      <c r="G27" s="7"/>
      <c r="H27" s="7"/>
      <c r="I27" s="7"/>
    </row>
    <row r="28" spans="2:9" s="10" ht="15">
      <c r="B28" s="7" t="s">
        <v>17</v>
      </c>
      <c r="C28" s="7" t="s">
        <v>18</v>
      </c>
      <c r="D28" s="7">
        <f>TR(C5,"TR.EnvMgtTraining","#1 curn=#2 Scale=2 ch:fd transpose:y NULL=BLANK",,C13,C12)</f>
        <v>0</v>
      </c>
      <c r="E28" s="7"/>
      <c r="F28" s="7"/>
      <c r="G28" s="7"/>
      <c r="H28" s="7"/>
      <c r="I28" s="7"/>
    </row>
    <row r="29" spans="2:9" s="10" ht="15">
      <c r="B29" s="7" t="s">
        <v>19</v>
      </c>
      <c r="C29" s="7" t="s">
        <v>18</v>
      </c>
      <c r="D29" s="7">
        <f>TR(C5,"TR.EnvMaterialsSourcing","#1 curn=#2 Scale=2 ch:fd transpose:y NULL=BLANK",,C13,C12)</f>
        <v>0</v>
      </c>
      <c r="E29" s="7"/>
      <c r="F29" s="7"/>
      <c r="G29" s="7"/>
      <c r="H29" s="7"/>
      <c r="I29" s="7"/>
    </row>
    <row r="30" spans="2:9" s="10" ht="15">
      <c r="B30" s="7" t="s">
        <v>17</v>
      </c>
      <c r="C30" s="7" t="s">
        <v>18</v>
      </c>
      <c r="D30" s="7">
        <f>TR(C5,"TR.ToxicChemicalsReduction","#1 curn=#2 Scale=2 ch:fd transpose:y NULL=BLANK",,C13,C12)</f>
        <v>0</v>
      </c>
      <c r="E30" s="7"/>
      <c r="F30" s="7"/>
      <c r="G30" s="7"/>
      <c r="H30" s="7"/>
      <c r="I30" s="7"/>
    </row>
    <row r="31" spans="2:9" s="10" ht="15">
      <c r="B31" s="7" t="s">
        <v>19</v>
      </c>
      <c r="C31" s="7" t="s">
        <v>18</v>
      </c>
      <c r="D31" s="7">
        <f>TR(C5,"TR.AnalyticEnergyUse","#1 curn=#2 Scale=2 ch:fd transpose:y NULL=BLANK",,C13,C12)</f>
        <v>0</v>
      </c>
      <c r="E31" s="7"/>
      <c r="F31" s="7"/>
      <c r="G31" s="7"/>
      <c r="H31" s="7"/>
      <c r="I31" s="7"/>
    </row>
    <row r="32" spans="2:9" s="10" ht="15">
      <c r="B32" s="7" t="s">
        <v>17</v>
      </c>
      <c r="C32" s="7" t="s">
        <v>18</v>
      </c>
      <c r="D32" s="7">
        <f>TR(C5,"TR.EnergyUseTotal","#1 curn=#2 Scale=2 ch:fd transpose:y NULL=BLANK",,C13,C12)</f>
        <v>0</v>
      </c>
      <c r="E32" s="7"/>
      <c r="F32" s="7"/>
      <c r="G32" s="7"/>
      <c r="H32" s="7"/>
      <c r="I32" s="7"/>
    </row>
    <row r="33" spans="2:9" s="10" ht="15">
      <c r="B33" s="7" t="s">
        <v>17</v>
      </c>
      <c r="C33" s="7" t="s">
        <v>18</v>
      </c>
      <c r="D33" s="7">
        <f>TR(C5,"TR.EnergyPurchasedDirect","#1 curn=#2 Scale=2 ch:fd transpose:y NULL=BLANK",,C13,C12)</f>
        <v>0</v>
      </c>
      <c r="E33" s="7"/>
      <c r="F33" s="7"/>
      <c r="G33" s="7"/>
      <c r="H33" s="7"/>
      <c r="I33" s="7"/>
    </row>
    <row r="34" spans="2:9" s="10" ht="15">
      <c r="B34" s="7" t="s">
        <v>17</v>
      </c>
      <c r="C34" s="7" t="s">
        <v>18</v>
      </c>
      <c r="D34" s="7">
        <f>TR(C5,"TR.EnergyProducedDirect","#1 curn=#2 Scale=2 ch:fd transpose:y NULL=BLANK",,C13,C12)</f>
        <v>0</v>
      </c>
      <c r="E34" s="7"/>
      <c r="F34" s="7"/>
      <c r="G34" s="7"/>
      <c r="H34" s="7"/>
      <c r="I34" s="7"/>
    </row>
    <row r="35" spans="2:9" s="10" ht="15">
      <c r="B35" s="7" t="s">
        <v>17</v>
      </c>
      <c r="C35" s="7" t="s">
        <v>18</v>
      </c>
      <c r="D35" s="7">
        <f>TR(C5,"TR.EnergyUseIndirect","#1 curn=#2 Scale=2 ch:fd transpose:y NULL=BLANK",,C13,C12)</f>
        <v>0</v>
      </c>
      <c r="E35" s="7"/>
      <c r="F35" s="7"/>
      <c r="G35" s="7"/>
      <c r="H35" s="7"/>
      <c r="I35" s="7"/>
    </row>
    <row r="36" spans="2:9" s="10" ht="15">
      <c r="B36" s="7" t="s">
        <v>17</v>
      </c>
      <c r="C36" s="7" t="s">
        <v>18</v>
      </c>
      <c r="D36" s="7">
        <f>TR(C5,"TR.ElectricityPurchased","#1 curn=#2 Scale=2 ch:fd transpose:y NULL=BLANK",,C13,C12)</f>
        <v>0</v>
      </c>
      <c r="E36" s="7"/>
      <c r="F36" s="7"/>
      <c r="G36" s="7"/>
      <c r="H36" s="7"/>
      <c r="I36" s="7"/>
    </row>
    <row r="37" spans="2:9" s="10" ht="15">
      <c r="B37" s="7" t="s">
        <v>17</v>
      </c>
      <c r="C37" s="7" t="s">
        <v>18</v>
      </c>
      <c r="D37" s="7">
        <f>TR(C5,"TR.ElectricityProduced","#1 curn=#2 Scale=2 ch:fd transpose:y NULL=BLANK",,C13,C12)</f>
        <v>0</v>
      </c>
      <c r="E37" s="7"/>
      <c r="F37" s="7"/>
      <c r="G37" s="7"/>
      <c r="H37" s="7"/>
      <c r="I37" s="7"/>
    </row>
    <row r="38" spans="2:9" s="10" ht="15">
      <c r="B38" s="7" t="s">
        <v>17</v>
      </c>
      <c r="C38" s="7" t="s">
        <v>18</v>
      </c>
      <c r="D38" s="7">
        <f>TR(C5,"TR.GridLossPercentage","#1 curn=#2 Scale=2 ch:fd transpose:y NULL=BLANK",,C13,C12)</f>
        <v>0</v>
      </c>
      <c r="E38" s="7"/>
      <c r="F38" s="7"/>
      <c r="G38" s="7"/>
      <c r="H38" s="7"/>
      <c r="I38" s="7"/>
    </row>
    <row r="39" spans="2:9" s="10" ht="15">
      <c r="B39" s="7" t="s">
        <v>17</v>
      </c>
      <c r="C39" s="7" t="s">
        <v>18</v>
      </c>
      <c r="D39" s="7">
        <f>TR(C5,"TR.AnalyticRenewEnergyUse","#1 curn=#2 Scale=2 ch:fd transpose:y NULL=BLANK",,C13,C12)</f>
        <v>0</v>
      </c>
      <c r="E39" s="7"/>
      <c r="F39" s="7"/>
      <c r="G39" s="7"/>
      <c r="H39" s="7"/>
      <c r="I39" s="7"/>
    </row>
    <row r="40" spans="2:9" s="10" ht="15">
      <c r="B40" s="7" t="s">
        <v>17</v>
      </c>
      <c r="C40" s="7" t="s">
        <v>18</v>
      </c>
      <c r="D40" s="7">
        <f>TR(C5,"TR.AnalyticRenewEnergySupply","#1 curn=#2 Scale=2 ch:fd transpose:y NULL=BLANK",,C13,C12)</f>
        <v>0</v>
      </c>
      <c r="E40" s="7"/>
      <c r="F40" s="7"/>
      <c r="G40" s="7"/>
      <c r="H40" s="7"/>
      <c r="I40" s="7"/>
    </row>
    <row r="41" spans="2:9" s="10" ht="15">
      <c r="B41" s="7" t="s">
        <v>19</v>
      </c>
      <c r="C41" s="7" t="s">
        <v>18</v>
      </c>
      <c r="D41" s="7">
        <f>TR(C5,"TR.AnalyticTotalRenewableEnergy","#1 curn=#2 Scale=2 ch:fd transpose:y NULL=BLANK",,C13,C12)</f>
        <v>0</v>
      </c>
      <c r="E41" s="7"/>
      <c r="F41" s="7"/>
      <c r="G41" s="7"/>
      <c r="H41" s="7"/>
      <c r="I41" s="7"/>
    </row>
    <row r="42" spans="2:9" s="10" ht="15">
      <c r="B42" s="7" t="s">
        <v>17</v>
      </c>
      <c r="C42" s="7" t="s">
        <v>18</v>
      </c>
      <c r="D42" s="7">
        <f>TR(C5,"TR.TotalRenewableEnergy","#1 curn=#2 Scale=2 ch:fd transpose:y NULL=BLANK",,C13,C12)</f>
        <v>0</v>
      </c>
      <c r="E42" s="7"/>
      <c r="F42" s="7"/>
      <c r="G42" s="7"/>
      <c r="H42" s="7"/>
      <c r="I42" s="7"/>
    </row>
    <row r="43" spans="2:9" s="10" ht="15">
      <c r="B43" s="7" t="s">
        <v>17</v>
      </c>
      <c r="C43" s="7" t="s">
        <v>18</v>
      </c>
      <c r="D43" s="7">
        <f>TR(C5,"TR.RenewEnergyPurchased","#1 curn=#2 Scale=2 ch:fd transpose:y NULL=BLANK",,C13,C12)</f>
        <v>0</v>
      </c>
      <c r="E43" s="7"/>
      <c r="F43" s="7"/>
      <c r="G43" s="7"/>
      <c r="H43" s="7"/>
      <c r="I43" s="7"/>
    </row>
    <row r="44" spans="2:9" s="10" ht="15">
      <c r="B44" s="7" t="s">
        <v>17</v>
      </c>
      <c r="C44" s="7" t="s">
        <v>18</v>
      </c>
      <c r="D44" s="7">
        <f>TR(C5,"TR.RenewEnergyProduced","#1 curn=#2 Scale=2 ch:fd transpose:y NULL=BLANK",,C13,C12)</f>
        <v>0</v>
      </c>
      <c r="E44" s="7"/>
      <c r="F44" s="7"/>
      <c r="G44" s="7"/>
      <c r="H44" s="7"/>
      <c r="I44" s="7"/>
    </row>
    <row r="45" spans="2:9" s="10" ht="15">
      <c r="B45" s="7" t="s">
        <v>17</v>
      </c>
      <c r="C45" s="7" t="s">
        <v>18</v>
      </c>
      <c r="D45" s="7">
        <f>TR(C5,"TR.RenewEnergyUse","#1 curn=#2 Scale=2 ch:fd transpose:y NULL=BLANK",,C13,C12)</f>
        <v>0</v>
      </c>
      <c r="E45" s="7"/>
      <c r="F45" s="7"/>
      <c r="G45" s="7"/>
      <c r="H45" s="7"/>
      <c r="I45" s="7"/>
    </row>
    <row r="46" spans="2:9" s="10" ht="15">
      <c r="B46" s="7" t="s">
        <v>17</v>
      </c>
      <c r="C46" s="7" t="s">
        <v>18</v>
      </c>
      <c r="D46" s="7">
        <f>TR(C5,"TR.CementEnergyUse","#1 curn=#2 Scale=2 ch:fd transpose:y NULL=BLANK",,C13,C12)</f>
        <v>0</v>
      </c>
      <c r="E46" s="7"/>
      <c r="F46" s="7"/>
      <c r="G46" s="7"/>
      <c r="H46" s="7"/>
      <c r="I46" s="7"/>
    </row>
    <row r="47" spans="2:9" s="10" ht="15">
      <c r="B47" s="7" t="s">
        <v>17</v>
      </c>
      <c r="C47" s="7" t="s">
        <v>18</v>
      </c>
      <c r="D47" s="7">
        <f>TR(C5,"TR.CoalProduced","#1 curn=#2 Scale=2 ch:fd transpose:y NULL=BLANK",,C13,C12)</f>
        <v>0</v>
      </c>
      <c r="E47" s="7"/>
      <c r="F47" s="7"/>
      <c r="G47" s="7"/>
      <c r="H47" s="7"/>
      <c r="I47" s="7"/>
    </row>
    <row r="48" spans="2:9" s="10" ht="15">
      <c r="B48" s="7" t="s">
        <v>19</v>
      </c>
      <c r="C48" s="7" t="s">
        <v>18</v>
      </c>
      <c r="D48" s="7">
        <f>TR(C5,"TR.GreenBuildings","#1 curn=#2 Scale=2 ch:fd transpose:y NULL=BLANK",,C13,C12)</f>
        <v>0</v>
      </c>
      <c r="E48" s="7"/>
      <c r="F48" s="7"/>
      <c r="G48" s="7"/>
      <c r="H48" s="7"/>
      <c r="I48" s="7"/>
    </row>
    <row r="49" spans="2:9" s="10" ht="15">
      <c r="B49" s="7" t="s">
        <v>19</v>
      </c>
      <c r="C49" s="7" t="s">
        <v>18</v>
      </c>
      <c r="D49" s="7">
        <f>TR(C5,"TR.AnalyticWaterUse","#1 curn=#2 Scale=2 ch:fd transpose:y NULL=BLANK",,C13,C12)</f>
        <v>0</v>
      </c>
      <c r="E49" s="7"/>
      <c r="F49" s="7"/>
      <c r="G49" s="7"/>
      <c r="H49" s="7"/>
      <c r="I49" s="7"/>
    </row>
    <row r="50" spans="2:9" s="10" ht="15">
      <c r="B50" s="7" t="s">
        <v>17</v>
      </c>
      <c r="C50" s="7" t="s">
        <v>18</v>
      </c>
      <c r="D50" s="7">
        <f>TR(C5,"TR.WaterWithdrawalTotal","#1 curn=#2 Scale=2 ch:fd transpose:y NULL=BLANK",,C13,C12)</f>
        <v>0</v>
      </c>
      <c r="E50" s="7"/>
      <c r="F50" s="7"/>
      <c r="G50" s="7"/>
      <c r="H50" s="7"/>
      <c r="I50" s="7"/>
    </row>
    <row r="51" spans="2:9" s="10" ht="15">
      <c r="B51" s="7" t="s">
        <v>17</v>
      </c>
      <c r="C51" s="7" t="s">
        <v>18</v>
      </c>
      <c r="D51" s="7">
        <f>TR(C5,"TR.FreshWaterWithdrawalTotal","#1 curn=#2 Scale=2 ch:fd transpose:y NULL=BLANK",,C13,C12)</f>
        <v>0</v>
      </c>
      <c r="E51" s="7"/>
      <c r="F51" s="7"/>
      <c r="G51" s="7"/>
      <c r="H51" s="7"/>
      <c r="I51" s="7"/>
    </row>
    <row r="52" spans="2:9" s="10" ht="15">
      <c r="B52" s="7" t="s">
        <v>17</v>
      </c>
      <c r="C52" s="7" t="s">
        <v>18</v>
      </c>
      <c r="D52" s="7">
        <f>TR(C5,"TR.WaterRecycled","#1 curn=#2 Scale=2 ch:fd transpose:y NULL=BLANK",,C13,C12)</f>
        <v>0</v>
      </c>
      <c r="E52" s="7"/>
      <c r="F52" s="7"/>
      <c r="G52" s="7"/>
      <c r="H52" s="7"/>
      <c r="I52" s="7"/>
    </row>
    <row r="53" spans="2:9" s="10" ht="15">
      <c r="B53" s="7" t="s">
        <v>19</v>
      </c>
      <c r="C53" s="7" t="s">
        <v>18</v>
      </c>
      <c r="D53" s="7">
        <f>TR(C5,"TR.EnvSupplyChainMgt","#1 curn=#2 Scale=2 ch:fd transpose:y NULL=BLANK",,C13,C12)</f>
        <v>0</v>
      </c>
      <c r="E53" s="7"/>
      <c r="F53" s="7"/>
      <c r="G53" s="7"/>
      <c r="H53" s="7"/>
      <c r="I53" s="7"/>
    </row>
    <row r="54" spans="2:9" s="10" ht="15">
      <c r="B54" s="7" t="s">
        <v>19</v>
      </c>
      <c r="C54" s="7" t="s">
        <v>18</v>
      </c>
      <c r="D54" s="7">
        <f>TR(C5,"TR.EnvSupplyChainMonitoring","#1 curn=#2 Scale=2 ch:fd transpose:y NULL=BLANK",,C13,C12)</f>
        <v>0</v>
      </c>
      <c r="E54" s="7"/>
      <c r="F54" s="7"/>
      <c r="G54" s="7"/>
      <c r="H54" s="7"/>
      <c r="I54" s="7"/>
    </row>
    <row r="55" spans="2:9" s="10" ht="15">
      <c r="B55" s="7" t="s">
        <v>19</v>
      </c>
      <c r="C55" s="7" t="s">
        <v>18</v>
      </c>
      <c r="D55" s="7">
        <f>TR(C5,"TR.EnvSupplyChainTermination","#1 curn=#2 Scale=2 ch:fd transpose:y NULL=BLANK",,C13,C12)</f>
        <v>0</v>
      </c>
      <c r="E55" s="7"/>
      <c r="F55" s="7"/>
      <c r="G55" s="7"/>
      <c r="H55" s="7"/>
      <c r="I55" s="7"/>
    </row>
    <row r="56" spans="2:9" s="10" ht="15">
      <c r="B56" s="7" t="s">
        <v>17</v>
      </c>
      <c r="C56" s="7" t="s">
        <v>18</v>
      </c>
      <c r="D56" s="7">
        <f>TR(C5,"TR.LandEnvImpactReduction","#1 curn=#2 Scale=2 ch:fd transpose:y NULL=BLANK",,C13,C12)</f>
        <v>0</v>
      </c>
      <c r="E56" s="7"/>
      <c r="F56" s="7"/>
      <c r="G56" s="7"/>
      <c r="H56" s="7"/>
      <c r="I56" s="7"/>
    </row>
    <row r="57" spans="2:9" s="10" ht="15">
      <c r="B57" s="7" t="s">
        <v>17</v>
      </c>
      <c r="C57" s="7" t="s">
        <v>18</v>
      </c>
      <c r="D57" s="7">
        <f>TR(C5,"TR.AnalyticEnergyUseEVIC","#1 curn=#2 Scale=2 ch:fd transpose:y NULL=BLANK",,C13,C12)</f>
        <v>0</v>
      </c>
      <c r="E57" s="7"/>
      <c r="F57" s="7"/>
      <c r="G57" s="7"/>
      <c r="H57" s="7"/>
      <c r="I57" s="7"/>
    </row>
    <row r="58" spans="2:9" s="10" ht="15">
      <c r="B58" s="7" t="s">
        <v>17</v>
      </c>
      <c r="C58" s="7" t="s">
        <v>18</v>
      </c>
      <c r="D58" s="7">
        <f>TR(C5,"TR.AnalyticWaterUseEVIC","#1 curn=#2 Scale=2 ch:fd transpose:y NULL=BLANK",,C13,C12)</f>
        <v>0</v>
      </c>
      <c r="E58" s="7"/>
      <c r="F58" s="7"/>
      <c r="G58" s="7"/>
      <c r="H58" s="7"/>
      <c r="I58" s="7"/>
    </row>
    <row r="59" spans="2:9" s="10" ht="15">
      <c r="B59" s="7" t="s">
        <v>17</v>
      </c>
      <c r="C59" s="7" t="s">
        <v>18</v>
      </c>
      <c r="D59" s="7">
        <f>TR(C5,"TR.AnalyticElectricityPurchasedPerTonneofAluminumProduction","#1 curn=#2 Scale=2 ch:fd transpose:y NULL=BLANK",,C13,C12)</f>
        <v>0</v>
      </c>
      <c r="E59" s="7"/>
      <c r="F59" s="7"/>
      <c r="G59" s="7"/>
      <c r="H59" s="7"/>
      <c r="I59" s="7"/>
    </row>
    <row r="60" spans="2:9" s="10" ht="15">
      <c r="B60" s="7" t="s">
        <v>17</v>
      </c>
      <c r="C60" s="7" t="s">
        <v>18</v>
      </c>
      <c r="D60" s="7">
        <f>TR(C5,"TR.AnalyticElectricityPurchasedPerTonneofChlorineProduction","#1 curn=#2 Scale=2 ch:fd transpose:y NULL=BLANK",,C13,C12)</f>
        <v>0</v>
      </c>
      <c r="E60" s="7"/>
      <c r="F60" s="7"/>
      <c r="G60" s="7"/>
      <c r="H60" s="7"/>
      <c r="I60" s="7"/>
    </row>
    <row r="61" spans="2:9" s="10" ht="15">
      <c r="B61" s="7" t="s">
        <v>17</v>
      </c>
      <c r="C61" s="7" t="s">
        <v>18</v>
      </c>
      <c r="D61" s="7">
        <f>TR(C5,"TR.EnvironmentalDataAssuranceStandard","#1 curn=#2 Scale=2 ch:fd transpose:y NULL=BLANK",,C13,C12)</f>
        <v>0</v>
      </c>
      <c r="E61" s="7"/>
      <c r="F61" s="7"/>
      <c r="G61" s="7"/>
      <c r="H61" s="7"/>
      <c r="I61" s="7"/>
    </row>
    <row r="62" spans="2:9" s="10" ht="15">
      <c r="B62" s="7" t="s">
        <v>17</v>
      </c>
      <c r="C62" s="7" t="s">
        <v>18</v>
      </c>
      <c r="D62" s="7">
        <f>TR(C5,"TR.EnvironmentalDataIndependentVerification","#1 curn=#2 Scale=2 ch:fd transpose:y NULL=BLANK",,C13,C12)</f>
        <v>0</v>
      </c>
      <c r="E62" s="7"/>
      <c r="F62" s="7"/>
      <c r="G62" s="7"/>
      <c r="H62" s="7"/>
      <c r="I62" s="7"/>
    </row>
    <row r="63" spans="2:9" s="10" ht="15">
      <c r="B63" s="7" t="s">
        <v>17</v>
      </c>
      <c r="C63" s="7" t="s">
        <v>18</v>
      </c>
      <c r="D63" s="7">
        <f>TR(C5,"TR.PolicyResourceEfficiency","#1 curn=#2 Scale=2 ch:fd transpose:y NULL=BLANK",,C13,C12)</f>
        <v>0</v>
      </c>
      <c r="E63" s="7"/>
      <c r="F63" s="7"/>
      <c r="G63" s="7"/>
      <c r="H63" s="7"/>
      <c r="I63" s="7"/>
    </row>
    <row r="64" spans="2:9" s="10" ht="15">
      <c r="B64" s="7" t="s">
        <v>17</v>
      </c>
      <c r="C64" s="7" t="s">
        <v>18</v>
      </c>
      <c r="D64" s="7">
        <f>TR(C5,"TR.TargetsResourceUse","#1 curn=#2 Scale=2 ch:fd transpose:y NULL=BLANK",,C13,C12)</f>
        <v>0</v>
      </c>
      <c r="E64" s="7"/>
      <c r="F64" s="7"/>
      <c r="G64" s="7"/>
      <c r="H64" s="7"/>
      <c r="I64" s="7"/>
    </row>
    <row r="65" spans="2:9" s="10" ht="15">
      <c r="B65" s="7" t="s">
        <v>17</v>
      </c>
      <c r="C65" s="7" t="s">
        <v>18</v>
      </c>
      <c r="D65" s="7">
        <f>TR(C5,"TR.FacilitiesWaterWithdrawal","#1 curn=#2 Scale=2 ch:fd transpose:y NULL=BLANK",,C13,C12)</f>
        <v>0</v>
      </c>
      <c r="E65" s="7"/>
      <c r="F65" s="7"/>
      <c r="G65" s="7"/>
      <c r="H65" s="7"/>
      <c r="I65" s="7"/>
    </row>
    <row r="66" spans="2:9" s="10" ht="15">
      <c r="B66" s="7" t="s">
        <v>17</v>
      </c>
      <c r="C66" s="7" t="s">
        <v>18</v>
      </c>
      <c r="D66" s="7">
        <f>TR(C5,"TR.WaterIncidents","#1 curn=#2 Scale=2 ch:fd transpose:y NULL=BLANK",,C13,C12)</f>
        <v>0</v>
      </c>
      <c r="E66" s="7"/>
      <c r="F66" s="7"/>
      <c r="G66" s="7"/>
      <c r="H66" s="7"/>
      <c r="I66" s="7"/>
    </row>
    <row r="67" spans="2:9" s="10" ht="15">
      <c r="B67" s="7" t="s">
        <v>17</v>
      </c>
      <c r="C67" s="7" t="s">
        <v>18</v>
      </c>
      <c r="D67" s="7">
        <f>TR(C5,"TR.WaterManagementPlanDetails","#1 curn=#2 Scale=2 ch:fd transpose:y NULL=BLANK",,C13,C12)</f>
        <v>0</v>
      </c>
      <c r="E67" s="7"/>
      <c r="F67" s="7"/>
      <c r="G67" s="7"/>
      <c r="H67" s="7"/>
      <c r="I67" s="7"/>
    </row>
    <row r="68" spans="2:9" s="10" ht="15">
      <c r="B68" s="7" t="s">
        <v>17</v>
      </c>
      <c r="C68" s="7" t="s">
        <v>18</v>
      </c>
      <c r="D68" s="7">
        <f>TR(C5,"TR.WaterStressedTargets","#1 curn=#2 Scale=2 ch:fd transpose:y NULL=BLANK",,C13,C12)</f>
        <v>0</v>
      </c>
      <c r="E68" s="7"/>
      <c r="F68" s="7"/>
      <c r="G68" s="7"/>
      <c r="H68" s="7"/>
      <c r="I68" s="7"/>
    </row>
    <row r="69" spans="2:9" s="10" ht="15">
      <c r="B69" s="7" t="s">
        <v>17</v>
      </c>
      <c r="C69" s="7" t="s">
        <v>18</v>
      </c>
      <c r="D69" s="7">
        <f>TR(C5,"TR.WaterUseTarget","#1 curn=#2 Scale=2 ch:fd transpose:y NULL=BLANK",,C13,C12)</f>
        <v>0</v>
      </c>
      <c r="E69" s="7"/>
      <c r="F69" s="7"/>
      <c r="G69" s="7"/>
      <c r="H69" s="7"/>
      <c r="I69" s="7"/>
    </row>
    <row r="70" spans="2:9" s="10" ht="15">
      <c r="B70" s="7" t="s">
        <v>17</v>
      </c>
      <c r="C70" s="7" t="s">
        <v>18</v>
      </c>
      <c r="D70" s="7">
        <f>TR(C5,"TR.SupplierEnvironmentalCommitment","#1 curn=#2 Scale=2 ch:fd transpose:y NULL=BLANK",,C13,C12)</f>
        <v>0</v>
      </c>
      <c r="E70" s="7"/>
      <c r="F70" s="7"/>
      <c r="G70" s="7"/>
      <c r="H70" s="7"/>
      <c r="I70" s="7"/>
    </row>
    <row r="71" spans="2:9" s="10" ht="15">
      <c r="B71" s="7" t="s">
        <v>17</v>
      </c>
      <c r="C71" s="7" t="s">
        <v>18</v>
      </c>
      <c r="D71" s="7">
        <f>TR(C5,"TR.SupplierEnvironmentalDueDiligence","#1 curn=#2 Scale=2 ch:fd transpose:y NULL=BLANK",,C13,C12)</f>
        <v>0</v>
      </c>
      <c r="E71" s="7"/>
      <c r="F71" s="7"/>
      <c r="G71" s="7"/>
      <c r="H71" s="7"/>
      <c r="I71" s="7"/>
    </row>
    <row r="72" spans="2:9" s="10" ht="15">
      <c r="B72" s="7" t="s">
        <v>17</v>
      </c>
      <c r="C72" s="7" t="s">
        <v>18</v>
      </c>
      <c r="D72" s="7">
        <f>TR(C5,"TR.SupplierEnvironmentalPolicyCommunication","#1 curn=#2 Scale=2 ch:fd transpose:y NULL=BLANK",,C13,C12)</f>
        <v>0</v>
      </c>
      <c r="E72" s="7"/>
      <c r="F72" s="7"/>
      <c r="G72" s="7"/>
      <c r="H72" s="7"/>
      <c r="I72" s="7"/>
    </row>
    <row r="73" spans="2:9" s="10" ht="15">
      <c r="B73" s="7" t="s">
        <v>17</v>
      </c>
      <c r="C73" s="7" t="s">
        <v>18</v>
      </c>
      <c r="D73" s="7">
        <f>TR(C5,"TR.SupplierEnvironmentalPolicyTraining","#1 curn=#2 Scale=2 ch:fd transpose:y NULL=BLANK",,C13,C12)</f>
        <v>0</v>
      </c>
      <c r="E73" s="7"/>
      <c r="F73" s="7"/>
      <c r="G73" s="7"/>
      <c r="H73" s="7"/>
      <c r="I73" s="7"/>
    </row>
    <row r="74" spans="2:9" s="10" ht="15">
      <c r="B74" s="7" t="s">
        <v>17</v>
      </c>
      <c r="C74" s="7" t="s">
        <v>18</v>
      </c>
      <c r="D74" s="7">
        <f>TR(C5,"TR.SupplierEnvironmentalRiskAssessment","#1 curn=#2 Scale=2 ch:fd transpose:y NULL=BLANK",,C13,C12)</f>
        <v>0</v>
      </c>
      <c r="E74" s="7"/>
      <c r="F74" s="7"/>
      <c r="G74" s="7"/>
      <c r="H74" s="7"/>
      <c r="I74" s="7"/>
    </row>
    <row r="75" spans="2:9" s="10" ht="15">
      <c r="B75" s="7" t="s">
        <v>17</v>
      </c>
      <c r="C75" s="7" t="s">
        <v>18</v>
      </c>
      <c r="D75" s="7">
        <f>TR(C5,"TR.TargetSustainablePalmOilSupplyChain","#1 curn=#2 Scale=2 ch:fd transpose:y NULL=BLANK",,C13,C12)</f>
        <v>0</v>
      </c>
      <c r="E75" s="7"/>
      <c r="F75" s="7"/>
      <c r="G75" s="7"/>
      <c r="H75" s="7"/>
      <c r="I75" s="7"/>
    </row>
    <row r="76" spans="2:9" s="10" ht="15">
      <c r="B76" s="7" t="s">
        <v>17</v>
      </c>
      <c r="C76" s="7" t="s">
        <v>18</v>
      </c>
      <c r="D76" s="7">
        <f>TR(C5,"TR.TotalWaterUsageProperties","#1 curn=#2 Scale=2 ch:fd transpose:y NULL=BLANK",,C13,C12)</f>
        <v>0</v>
      </c>
      <c r="E76" s="7"/>
      <c r="F76" s="7"/>
      <c r="G76" s="7"/>
      <c r="H76" s="7"/>
      <c r="I76" s="7"/>
    </row>
    <row r="77" spans="2:9" s="10" ht="15">
      <c r="B77" s="7" t="s">
        <v>17</v>
      </c>
      <c r="C77" s="7" t="s">
        <v>18</v>
      </c>
      <c r="D77" s="7">
        <f>TR(C5,"TR.WaterStressedSites","#1 curn=#2 Scale=2 ch:fd transpose:y NULL=BLANK",,C13,C12)</f>
        <v>0</v>
      </c>
      <c r="E77" s="7"/>
      <c r="F77" s="7"/>
      <c r="G77" s="7"/>
      <c r="H77" s="7"/>
      <c r="I77" s="7"/>
    </row>
    <row r="78" spans="2:9" s="10" ht="15">
      <c r="B78" s="7" t="s">
        <v>17</v>
      </c>
      <c r="C78" s="7" t="s">
        <v>18</v>
      </c>
      <c r="D78" s="7">
        <f>TR(C5,"TR.WaterStressedSitesPercent","#1 curn=#2 Scale=2 ch:fd transpose:y NULL=BLANK",,C13,C12)</f>
        <v>0</v>
      </c>
      <c r="E78" s="7"/>
      <c r="F78" s="7"/>
      <c r="G78" s="7"/>
      <c r="H78" s="7"/>
      <c r="I78" s="7"/>
    </row>
    <row r="79" spans="2:9" s="10" ht="15">
      <c r="B79" s="7" t="s">
        <v>17</v>
      </c>
      <c r="C79" s="7" t="s">
        <v>18</v>
      </c>
      <c r="D79" s="7">
        <f>TR(C5,"TR.WaterWithdrawalinStressedRegions","#1 curn=#2 Scale=2 ch:fd transpose:y NULL=BLANK",,C13,C12)</f>
        <v>0</v>
      </c>
      <c r="E79" s="7"/>
      <c r="F79" s="7"/>
      <c r="G79" s="7"/>
      <c r="H79" s="7"/>
      <c r="I79" s="7"/>
    </row>
    <row r="80" spans="2:9" s="10" ht="15">
      <c r="B80" s="7" t="s">
        <v>17</v>
      </c>
      <c r="C80" s="7" t="s">
        <v>18</v>
      </c>
      <c r="D80" s="7">
        <f>TR(C5,"TR.WaterWithdrawalinStressedRegionsPercent","#1 curn=#2 Scale=2 ch:fd transpose:y NULL=BLANK",,C13,C12)</f>
        <v>0</v>
      </c>
      <c r="E80" s="7"/>
      <c r="F80" s="7"/>
      <c r="G80" s="7"/>
      <c r="H80" s="7"/>
      <c r="I80" s="7"/>
    </row>
    <row r="81" spans="2:9" s="10" ht="15">
      <c r="B81" s="7" t="s">
        <v>17</v>
      </c>
      <c r="C81" s="7" t="s">
        <v>18</v>
      </c>
      <c r="D81" s="7">
        <f>TR(C5,"TR.CertifiedPalmOilPercentSupplyChain","#1 curn=#2 Scale=2 ch:fd transpose:y NULL=BLANK",,C13,C12)</f>
        <v>0</v>
      </c>
      <c r="E81" s="7"/>
      <c r="F81" s="7"/>
      <c r="G81" s="7"/>
      <c r="H81" s="7"/>
      <c r="I81" s="7"/>
    </row>
    <row r="82" spans="2:9" s="10" ht="15">
      <c r="B82" s="7" t="s">
        <v>19</v>
      </c>
      <c r="C82" s="7" t="s">
        <v>20</v>
      </c>
      <c r="D82" s="7">
        <f>TR(C5,"TR.PolicyEmissions","#1 curn=#2 Scale=2 ch:fd transpose:y NULL=BLANK",,C13,C12)</f>
        <v>0</v>
      </c>
      <c r="E82" s="7"/>
      <c r="F82" s="7"/>
      <c r="G82" s="7"/>
      <c r="H82" s="7"/>
      <c r="I82" s="7"/>
    </row>
    <row r="83" spans="2:9" s="10" ht="15">
      <c r="B83" s="7" t="s">
        <v>19</v>
      </c>
      <c r="C83" s="7" t="s">
        <v>20</v>
      </c>
      <c r="D83" s="7">
        <f>TR(C5,"TR.TargetsEmissions","#1 curn=#2 Scale=2 ch:fd transpose:y NULL=BLANK",,C13,C12)</f>
        <v>0</v>
      </c>
      <c r="E83" s="7"/>
      <c r="F83" s="7"/>
      <c r="G83" s="7"/>
      <c r="H83" s="7"/>
      <c r="I83" s="7"/>
    </row>
    <row r="84" spans="2:9" s="10" ht="15">
      <c r="B84" s="7" t="s">
        <v>17</v>
      </c>
      <c r="C84" s="7" t="s">
        <v>20</v>
      </c>
      <c r="D84" s="7">
        <f>TR(C5,"TR.EmissionReductionTargetPctage","#1 curn=#2 Scale=2 ch:fd transpose:y NULL=BLANK",,C13,C12)</f>
        <v>0</v>
      </c>
      <c r="E84" s="7"/>
      <c r="F84" s="7"/>
      <c r="G84" s="7"/>
      <c r="H84" s="7"/>
      <c r="I84" s="7"/>
    </row>
    <row r="85" spans="2:9" s="10" ht="15">
      <c r="B85" s="7" t="s">
        <v>17</v>
      </c>
      <c r="C85" s="7" t="s">
        <v>20</v>
      </c>
      <c r="D85" s="7">
        <f>TR(C5,"TR.EmissionReductionTargetYear","#1 curn=#2 Scale=2 ch:fd transpose:y NULL=BLANK",,C13,C12)</f>
        <v>0</v>
      </c>
      <c r="E85" s="7"/>
      <c r="F85" s="7"/>
      <c r="G85" s="7"/>
      <c r="H85" s="7"/>
      <c r="I85" s="7"/>
    </row>
    <row r="86" spans="2:9" s="10" ht="15">
      <c r="B86" s="7" t="s">
        <v>19</v>
      </c>
      <c r="C86" s="7" t="s">
        <v>20</v>
      </c>
      <c r="D86" s="7">
        <f>TR(C5,"TR.BiodiversityImpactReduction","#1 curn=#2 Scale=2 ch:fd transpose:y NULL=BLANK",,C13,C12)</f>
        <v>0</v>
      </c>
      <c r="E86" s="7"/>
      <c r="F86" s="7"/>
      <c r="G86" s="7"/>
      <c r="H86" s="7"/>
      <c r="I86" s="7"/>
    </row>
    <row r="87" spans="2:9" s="10" ht="15">
      <c r="B87" s="7" t="s">
        <v>17</v>
      </c>
      <c r="C87" s="7" t="s">
        <v>20</v>
      </c>
      <c r="D87" s="7">
        <f>TR(C5,"TR.AnalyticEstimatedCO2Total","#1 curn=#2 Scale=2 ch:fd transpose:y NULL=BLANK",,C13,C12)</f>
        <v>0</v>
      </c>
      <c r="E87" s="7"/>
      <c r="F87" s="7"/>
      <c r="G87" s="7"/>
      <c r="H87" s="7"/>
      <c r="I87" s="7"/>
    </row>
    <row r="88" spans="2:9" s="10" ht="15">
      <c r="B88" s="7" t="s">
        <v>17</v>
      </c>
      <c r="C88" s="7" t="s">
        <v>20</v>
      </c>
      <c r="D88" s="7">
        <f>TR(C5,"TR.CO2EstimationMethod","#1 curn=#2 Scale=2 ch:fd transpose:y NULL=BLANK",,C13,C12)</f>
        <v>0</v>
      </c>
      <c r="E88" s="7"/>
      <c r="F88" s="7"/>
      <c r="G88" s="7"/>
      <c r="H88" s="7"/>
      <c r="I88" s="7"/>
    </row>
    <row r="89" spans="2:9" s="10" ht="15">
      <c r="B89" s="7" t="s">
        <v>19</v>
      </c>
      <c r="C89" s="7" t="s">
        <v>20</v>
      </c>
      <c r="D89" s="7">
        <f>TR(C5,"TR.AnalyticCO2","#1 curn=#2 Scale=2 ch:fd transpose:y NULL=BLANK",,C13,C12)</f>
        <v>0</v>
      </c>
      <c r="E89" s="7"/>
      <c r="F89" s="7"/>
      <c r="G89" s="7"/>
      <c r="H89" s="7"/>
      <c r="I89" s="7"/>
    </row>
    <row r="90" spans="2:9" s="10" ht="15">
      <c r="B90" s="7" t="s">
        <v>17</v>
      </c>
      <c r="C90" s="7" t="s">
        <v>20</v>
      </c>
      <c r="D90" s="7">
        <f>TR(C5,"TR.CO2EmissionTotal","#1 curn=#2 Scale=2 ch:fd transpose:y NULL=BLANK",,C13,C12)</f>
        <v>0</v>
      </c>
      <c r="E90" s="7"/>
      <c r="F90" s="7"/>
      <c r="G90" s="7"/>
      <c r="H90" s="7"/>
      <c r="I90" s="7"/>
    </row>
    <row r="91" spans="2:9" s="10" ht="15">
      <c r="B91" s="7" t="s">
        <v>17</v>
      </c>
      <c r="C91" s="7" t="s">
        <v>20</v>
      </c>
      <c r="D91" s="7">
        <f>TR(C5,"TR.CO2DirectScope1","#1 curn=#2 Scale=2 ch:fd transpose:y NULL=BLANK",,C13,C12)</f>
        <v>0</v>
      </c>
      <c r="E91" s="7"/>
      <c r="F91" s="7"/>
      <c r="G91" s="7"/>
      <c r="H91" s="7"/>
      <c r="I91" s="7"/>
    </row>
    <row r="92" spans="2:9" s="10" ht="15">
      <c r="B92" s="7" t="s">
        <v>17</v>
      </c>
      <c r="C92" s="7" t="s">
        <v>20</v>
      </c>
      <c r="D92" s="7">
        <f>TR(C5,"TR.CO2IndirectScope2","#1 curn=#2 Scale=2 ch:fd transpose:y NULL=BLANK",,C13,C12)</f>
        <v>0</v>
      </c>
      <c r="E92" s="7"/>
      <c r="F92" s="7"/>
      <c r="G92" s="7"/>
      <c r="H92" s="7"/>
      <c r="I92" s="7"/>
    </row>
    <row r="93" spans="2:9" s="10" ht="15">
      <c r="B93" s="7" t="s">
        <v>19</v>
      </c>
      <c r="C93" s="7" t="s">
        <v>20</v>
      </c>
      <c r="D93" s="7">
        <f>TR(C5,"TR.AnalyticCO2IndirectScope3","#1 curn=#2 Scale=2 ch:fd transpose:y NULL=BLANK",,C13,C12)</f>
        <v>0</v>
      </c>
      <c r="E93" s="7"/>
      <c r="F93" s="7"/>
      <c r="G93" s="7"/>
      <c r="H93" s="7"/>
      <c r="I93" s="7"/>
    </row>
    <row r="94" spans="2:9" s="10" ht="15">
      <c r="B94" s="7" t="s">
        <v>17</v>
      </c>
      <c r="C94" s="7" t="s">
        <v>20</v>
      </c>
      <c r="D94" s="7">
        <f>TR(C5,"TR.CO2IndirectScope3","#1 curn=#2 Scale=2 ch:fd transpose:y NULL=BLANK",,C13,C12)</f>
        <v>0</v>
      </c>
      <c r="E94" s="7"/>
      <c r="F94" s="7"/>
      <c r="G94" s="7"/>
      <c r="H94" s="7"/>
      <c r="I94" s="7"/>
    </row>
    <row r="95" spans="2:9" s="10" ht="15">
      <c r="B95" s="7" t="s">
        <v>17</v>
      </c>
      <c r="C95" s="7" t="s">
        <v>20</v>
      </c>
      <c r="D95" s="7">
        <f>TR(C5,"TR.CarbonOffsetsCredits","#1 curn=#2 Scale=2 ch:fd transpose:y NULL=BLANK",,C13,C12)</f>
        <v>0</v>
      </c>
      <c r="E95" s="7"/>
      <c r="F95" s="7"/>
      <c r="G95" s="7"/>
      <c r="H95" s="7"/>
      <c r="I95" s="7"/>
    </row>
    <row r="96" spans="2:9" s="10" ht="15">
      <c r="B96" s="7" t="s">
        <v>17</v>
      </c>
      <c r="C96" s="7" t="s">
        <v>20</v>
      </c>
      <c r="D96" s="7">
        <f>TR(C5,"TR.EmissionsTrading","#1 curn=#2 Scale=2 ch:fd transpose:y NULL=BLANK",,C13,C12)</f>
        <v>0</v>
      </c>
      <c r="E96" s="7"/>
      <c r="F96" s="7"/>
      <c r="G96" s="7"/>
      <c r="H96" s="7"/>
      <c r="I96" s="7"/>
    </row>
    <row r="97" spans="2:9" s="10" ht="15">
      <c r="B97" s="7" t="s">
        <v>17</v>
      </c>
      <c r="C97" s="7" t="s">
        <v>20</v>
      </c>
      <c r="D97" s="7">
        <f>TR(C5,"TR.CementCO2Emission","#1 curn=#2 Scale=2 ch:fd transpose:y NULL=BLANK",,C13,C12)</f>
        <v>0</v>
      </c>
      <c r="E97" s="7"/>
      <c r="F97" s="7"/>
      <c r="G97" s="7"/>
      <c r="H97" s="7"/>
      <c r="I97" s="7"/>
    </row>
    <row r="98" spans="2:9" s="10" ht="15">
      <c r="B98" s="7" t="s">
        <v>19</v>
      </c>
      <c r="C98" s="7" t="s">
        <v>20</v>
      </c>
      <c r="D98" s="7">
        <f>TR(C5,"TR.ClimateChangeRisksOpp","#1 curn=#2 Scale=2 ch:fd transpose:y NULL=BLANK",,C13,C12)</f>
        <v>0</v>
      </c>
      <c r="E98" s="7"/>
      <c r="F98" s="7"/>
      <c r="G98" s="7"/>
      <c r="H98" s="7"/>
      <c r="I98" s="7"/>
    </row>
    <row r="99" spans="2:9" s="10" ht="15">
      <c r="B99" s="7" t="s">
        <v>17</v>
      </c>
      <c r="C99" s="7" t="s">
        <v>20</v>
      </c>
      <c r="D99" s="7">
        <f>TR(C5,"TR.AnalyticFlaringGases","#1 curn=#2 Scale=2 ch:fd transpose:y NULL=BLANK",,C13,C12)</f>
        <v>0</v>
      </c>
      <c r="E99" s="7"/>
      <c r="F99" s="7"/>
      <c r="G99" s="7"/>
      <c r="H99" s="7"/>
      <c r="I99" s="7"/>
    </row>
    <row r="100" spans="2:9" s="10" ht="15">
      <c r="B100" s="7" t="s">
        <v>17</v>
      </c>
      <c r="C100" s="7" t="s">
        <v>20</v>
      </c>
      <c r="D100" s="7">
        <f>TR(C5,"TR.FlaringGases","#1 curn=#2 Scale=2 ch:fd transpose:y NULL=BLANK",,C13,C12)</f>
        <v>0</v>
      </c>
      <c r="E100" s="7"/>
      <c r="F100" s="7"/>
      <c r="G100" s="7"/>
      <c r="H100" s="7"/>
      <c r="I100" s="7"/>
    </row>
    <row r="101" spans="2:9" s="10" ht="15">
      <c r="B101" s="7" t="s">
        <v>17</v>
      </c>
      <c r="C101" s="7" t="s">
        <v>20</v>
      </c>
      <c r="D101" s="7">
        <f>TR(C5,"TR.AnalyticOzoneDepletingSubstances","#1 curn=#2 Scale=2 ch:fd transpose:y NULL=BLANK",,C13,C12)</f>
        <v>0</v>
      </c>
      <c r="E101" s="7"/>
      <c r="F101" s="7"/>
      <c r="G101" s="7"/>
      <c r="H101" s="7"/>
      <c r="I101" s="7"/>
    </row>
    <row r="102" spans="2:9" s="10" ht="15">
      <c r="B102" s="7" t="s">
        <v>17</v>
      </c>
      <c r="C102" s="7" t="s">
        <v>20</v>
      </c>
      <c r="D102" s="7">
        <f>TR(C5,"TR.OzoneDepletingSubstances","#1 curn=#2 Scale=2 ch:fd transpose:y NULL=BLANK",,C13,C12)</f>
        <v>0</v>
      </c>
      <c r="E102" s="7"/>
      <c r="F102" s="7"/>
      <c r="G102" s="7"/>
      <c r="H102" s="7"/>
      <c r="I102" s="7"/>
    </row>
    <row r="103" spans="2:9" s="10" ht="15">
      <c r="B103" s="7" t="s">
        <v>17</v>
      </c>
      <c r="C103" s="7" t="s">
        <v>20</v>
      </c>
      <c r="D103" s="7">
        <f>TR(C5,"TR.NOxSOxEmissionsReduction","#1 curn=#2 Scale=2 ch:fd transpose:y NULL=BLANK",,C13,C12)</f>
        <v>0</v>
      </c>
      <c r="E103" s="7"/>
      <c r="F103" s="7"/>
      <c r="G103" s="7"/>
      <c r="H103" s="7"/>
      <c r="I103" s="7"/>
    </row>
    <row r="104" spans="2:9" s="10" ht="15">
      <c r="B104" s="7" t="s">
        <v>19</v>
      </c>
      <c r="C104" s="7" t="s">
        <v>20</v>
      </c>
      <c r="D104" s="7">
        <f>TR(C5,"TR.AnalyticNOxEmissions","#1 curn=#2 Scale=2 ch:fd transpose:y NULL=BLANK",,C13,C12)</f>
        <v>0</v>
      </c>
      <c r="E104" s="7"/>
      <c r="F104" s="7"/>
      <c r="G104" s="7"/>
      <c r="H104" s="7"/>
      <c r="I104" s="7"/>
    </row>
    <row r="105" spans="2:9" s="10" ht="15">
      <c r="B105" s="7" t="s">
        <v>17</v>
      </c>
      <c r="C105" s="7" t="s">
        <v>20</v>
      </c>
      <c r="D105" s="7">
        <f>TR(C5,"TR.NOxEmissions","#1 curn=#2 Scale=2 ch:fd transpose:y NULL=BLANK",,C13,C12)</f>
        <v>0</v>
      </c>
      <c r="E105" s="7"/>
      <c r="F105" s="7"/>
      <c r="G105" s="7"/>
      <c r="H105" s="7"/>
      <c r="I105" s="7"/>
    </row>
    <row r="106" spans="2:9" s="10" ht="15">
      <c r="B106" s="7" t="s">
        <v>19</v>
      </c>
      <c r="C106" s="7" t="s">
        <v>20</v>
      </c>
      <c r="D106" s="7">
        <f>TR(C5,"TR.AnalyticSOxEmissions","#1 curn=#2 Scale=2 ch:fd transpose:y NULL=BLANK",,C13,C12)</f>
        <v>0</v>
      </c>
      <c r="E106" s="7"/>
      <c r="F106" s="7"/>
      <c r="G106" s="7"/>
      <c r="H106" s="7"/>
      <c r="I106" s="7"/>
    </row>
    <row r="107" spans="2:9" s="10" ht="15">
      <c r="B107" s="7" t="s">
        <v>17</v>
      </c>
      <c r="C107" s="7" t="s">
        <v>20</v>
      </c>
      <c r="D107" s="7">
        <f>TR(C5,"TR.SOxEmissions","#1 curn=#2 Scale=2 ch:fd transpose:y NULL=BLANK",,C13,C12)</f>
        <v>0</v>
      </c>
      <c r="E107" s="7"/>
      <c r="F107" s="7"/>
      <c r="G107" s="7"/>
      <c r="H107" s="7"/>
      <c r="I107" s="7"/>
    </row>
    <row r="108" spans="2:9" s="10" ht="15">
      <c r="B108" s="7" t="s">
        <v>19</v>
      </c>
      <c r="C108" s="7" t="s">
        <v>20</v>
      </c>
      <c r="D108" s="7">
        <f>TR(C5,"TR.AnalyticVOCorPMReduction","#1 curn=#2 Scale=2 ch:fd transpose:y NULL=BLANK",,C13,C12)</f>
        <v>0</v>
      </c>
      <c r="E108" s="7"/>
      <c r="F108" s="7"/>
      <c r="G108" s="7"/>
      <c r="H108" s="7"/>
      <c r="I108" s="7"/>
    </row>
    <row r="109" spans="2:9" s="10" ht="15">
      <c r="B109" s="7" t="s">
        <v>17</v>
      </c>
      <c r="C109" s="7" t="s">
        <v>20</v>
      </c>
      <c r="D109" s="7">
        <f>TR(C5,"TR.VOCEmissionsReduction","#1 curn=#2 Scale=2 ch:fd transpose:y NULL=BLANK",,C13,C12)</f>
        <v>0</v>
      </c>
      <c r="E109" s="7"/>
      <c r="F109" s="7"/>
      <c r="G109" s="7"/>
      <c r="H109" s="7"/>
      <c r="I109" s="7"/>
    </row>
    <row r="110" spans="2:9" s="10" ht="15">
      <c r="B110" s="7" t="s">
        <v>17</v>
      </c>
      <c r="C110" s="7" t="s">
        <v>20</v>
      </c>
      <c r="D110" s="7">
        <f>TR(C5,"TR.PMReduction","#1 curn=#2 Scale=2 ch:fd transpose:y NULL=BLANK",,C13,C12)</f>
        <v>0</v>
      </c>
      <c r="E110" s="7"/>
      <c r="F110" s="7"/>
      <c r="G110" s="7"/>
      <c r="H110" s="7"/>
      <c r="I110" s="7"/>
    </row>
    <row r="111" spans="2:9" s="10" ht="15">
      <c r="B111" s="7" t="s">
        <v>17</v>
      </c>
      <c r="C111" s="7" t="s">
        <v>20</v>
      </c>
      <c r="D111" s="7">
        <f>TR(C5,"TR.AnalyticVOCEmissions","#1 curn=#2 Scale=2 ch:fd transpose:y NULL=BLANK",,C13,C12)</f>
        <v>0</v>
      </c>
      <c r="E111" s="7"/>
      <c r="F111" s="7"/>
      <c r="G111" s="7"/>
      <c r="H111" s="7"/>
      <c r="I111" s="7"/>
    </row>
    <row r="112" spans="2:9" s="10" ht="15">
      <c r="B112" s="7" t="s">
        <v>17</v>
      </c>
      <c r="C112" s="7" t="s">
        <v>20</v>
      </c>
      <c r="D112" s="7">
        <f>TR(C5,"TR.VOCEmissions","#1 curn=#2 Scale=2 ch:fd transpose:y NULL=BLANK",,C13,C12)</f>
        <v>0</v>
      </c>
      <c r="E112" s="7"/>
      <c r="F112" s="7"/>
      <c r="G112" s="7"/>
      <c r="H112" s="7"/>
      <c r="I112" s="7"/>
    </row>
    <row r="113" spans="2:9" s="10" ht="15">
      <c r="B113" s="7" t="s">
        <v>19</v>
      </c>
      <c r="C113" s="7" t="s">
        <v>20</v>
      </c>
      <c r="D113" s="7">
        <f>TR(C5,"TR.AnalyticTotalWaste","#1 curn=#2 Scale=2 ch:fd transpose:y NULL=BLANK",,C13,C12)</f>
        <v>0</v>
      </c>
      <c r="E113" s="7"/>
      <c r="F113" s="7"/>
      <c r="G113" s="7"/>
      <c r="H113" s="7"/>
      <c r="I113" s="7"/>
    </row>
    <row r="114" spans="2:9" s="10" ht="15">
      <c r="B114" s="7" t="s">
        <v>19</v>
      </c>
      <c r="C114" s="7" t="s">
        <v>20</v>
      </c>
      <c r="D114" s="7">
        <f>TR(C5,"TR.AnalyticWasteRecyclingRatio","#1 curn=#2 Scale=2 ch:fd transpose:y NULL=BLANK",,C13,C12)</f>
        <v>0</v>
      </c>
      <c r="E114" s="7"/>
      <c r="F114" s="7"/>
      <c r="G114" s="7"/>
      <c r="H114" s="7"/>
      <c r="I114" s="7"/>
    </row>
    <row r="115" spans="2:9" s="10" ht="15">
      <c r="B115" s="7" t="s">
        <v>19</v>
      </c>
      <c r="C115" s="7" t="s">
        <v>20</v>
      </c>
      <c r="D115" s="7">
        <f>TR(C5,"TR.AnalyticHazardousWaste","#1 curn=#2 Scale=2 ch:fd transpose:y NULL=BLANK",,C13,C12)</f>
        <v>0</v>
      </c>
      <c r="E115" s="7"/>
      <c r="F115" s="7"/>
      <c r="G115" s="7"/>
      <c r="H115" s="7"/>
      <c r="I115" s="7"/>
    </row>
    <row r="116" spans="2:9" s="10" ht="15">
      <c r="B116" s="7" t="s">
        <v>17</v>
      </c>
      <c r="C116" s="7" t="s">
        <v>20</v>
      </c>
      <c r="D116" s="7">
        <f>TR(C5,"TR.WasteTotal","#1 curn=#2 Scale=2 ch:fd transpose:y NULL=BLANK",,C13,C12)</f>
        <v>0</v>
      </c>
      <c r="E116" s="7"/>
      <c r="F116" s="7"/>
      <c r="G116" s="7"/>
      <c r="H116" s="7"/>
      <c r="I116" s="7"/>
    </row>
    <row r="117" spans="2:9" s="10" ht="15">
      <c r="B117" s="7" t="s">
        <v>17</v>
      </c>
      <c r="C117" s="7" t="s">
        <v>20</v>
      </c>
      <c r="D117" s="7">
        <f>TR(C5,"TR.NonHazardousWaste","#1 curn=#2 Scale=2 ch:fd transpose:y NULL=BLANK",,C13,C12)</f>
        <v>0</v>
      </c>
      <c r="E117" s="7"/>
      <c r="F117" s="7"/>
      <c r="G117" s="7"/>
      <c r="H117" s="7"/>
      <c r="I117" s="7"/>
    </row>
    <row r="118" spans="2:9" s="10" ht="15">
      <c r="B118" s="7" t="s">
        <v>17</v>
      </c>
      <c r="C118" s="7" t="s">
        <v>20</v>
      </c>
      <c r="D118" s="7">
        <f>TR(C5,"TR.WasteRecycledTotal","#1 curn=#2 Scale=2 ch:fd transpose:y NULL=BLANK",,C13,C12)</f>
        <v>0</v>
      </c>
      <c r="E118" s="7"/>
      <c r="F118" s="7"/>
      <c r="G118" s="7"/>
      <c r="H118" s="7"/>
      <c r="I118" s="7"/>
    </row>
    <row r="119" spans="2:9" s="10" ht="15">
      <c r="B119" s="7" t="s">
        <v>17</v>
      </c>
      <c r="C119" s="7" t="s">
        <v>20</v>
      </c>
      <c r="D119" s="7">
        <f>TR(C5,"TR.WasteRecyclingRatio","#1 curn=#2 Scale=2 ch:fd transpose:y NULL=BLANK",,C13,C12)</f>
        <v>0</v>
      </c>
      <c r="E119" s="7"/>
      <c r="F119" s="7"/>
      <c r="G119" s="7"/>
      <c r="H119" s="7"/>
      <c r="I119" s="7"/>
    </row>
    <row r="120" spans="2:9" s="10" ht="15">
      <c r="B120" s="7" t="s">
        <v>17</v>
      </c>
      <c r="C120" s="7" t="s">
        <v>20</v>
      </c>
      <c r="D120" s="7">
        <f>TR(C5,"TR.HazardousWaste","#1 curn=#2 Scale=2 ch:fd transpose:y NULL=BLANK",,C13,C12)</f>
        <v>0</v>
      </c>
      <c r="E120" s="7"/>
      <c r="F120" s="7"/>
      <c r="G120" s="7"/>
      <c r="H120" s="7"/>
      <c r="I120" s="7"/>
    </row>
    <row r="121" spans="2:9" s="10" ht="15">
      <c r="B121" s="7" t="s">
        <v>17</v>
      </c>
      <c r="C121" s="7" t="s">
        <v>20</v>
      </c>
      <c r="D121" s="7">
        <f>TR(C5,"TR.WasteReductionInitiatives","#1 curn=#2 Scale=2 ch:fd transpose:y NULL=BLANK",,C13,C12)</f>
        <v>0</v>
      </c>
      <c r="E121" s="7"/>
      <c r="F121" s="7"/>
      <c r="G121" s="7"/>
      <c r="H121" s="7"/>
      <c r="I121" s="7"/>
    </row>
    <row r="122" spans="2:9" s="10" ht="15">
      <c r="B122" s="7" t="s">
        <v>19</v>
      </c>
      <c r="C122" s="7" t="s">
        <v>20</v>
      </c>
      <c r="D122" s="7">
        <f>TR(C5,"TR.eWasteReduction","#1 curn=#2 Scale=2 ch:fd transpose:y NULL=BLANK",,C13,C12)</f>
        <v>0</v>
      </c>
      <c r="E122" s="7"/>
      <c r="F122" s="7"/>
      <c r="G122" s="7"/>
      <c r="H122" s="7"/>
      <c r="I122" s="7"/>
    </row>
    <row r="123" spans="2:9" s="10" ht="15">
      <c r="B123" s="7" t="s">
        <v>17</v>
      </c>
      <c r="C123" s="7" t="s">
        <v>20</v>
      </c>
      <c r="D123" s="7">
        <f>TR(C5,"TR.AnalyticDischargeWaterSystem","#1 curn=#2 Scale=2 ch:fd transpose:y NULL=BLANK",,C13,C12)</f>
        <v>0</v>
      </c>
      <c r="E123" s="7"/>
      <c r="F123" s="7"/>
      <c r="G123" s="7"/>
      <c r="H123" s="7"/>
      <c r="I123" s="7"/>
    </row>
    <row r="124" spans="2:9" s="10" ht="15">
      <c r="B124" s="7" t="s">
        <v>17</v>
      </c>
      <c r="C124" s="7" t="s">
        <v>20</v>
      </c>
      <c r="D124" s="7">
        <f>TR(C5,"TR.WaterDischarged","#1 curn=#2 Scale=2 ch:fd transpose:y NULL=BLANK",,C13,C12)</f>
        <v>0</v>
      </c>
      <c r="E124" s="7"/>
      <c r="F124" s="7"/>
      <c r="G124" s="7"/>
      <c r="H124" s="7"/>
      <c r="I124" s="7"/>
    </row>
    <row r="125" spans="2:9" s="10" ht="15">
      <c r="B125" s="7" t="s">
        <v>17</v>
      </c>
      <c r="C125" s="7" t="s">
        <v>20</v>
      </c>
      <c r="D125" s="7">
        <f>TR(C5,"TR.WaterPollutantEmissions","#1 curn=#2 Scale=2 ch:fd transpose:y NULL=BLANK",,C13,C12)</f>
        <v>0</v>
      </c>
      <c r="E125" s="7"/>
      <c r="F125" s="7"/>
      <c r="G125" s="7"/>
      <c r="H125" s="7"/>
      <c r="I125" s="7"/>
    </row>
    <row r="126" spans="2:9" s="10" ht="15">
      <c r="B126" s="7" t="s">
        <v>17</v>
      </c>
      <c r="C126" s="7" t="s">
        <v>20</v>
      </c>
      <c r="D126" s="7">
        <f>TR(C5,"TR.ISO14000","#1 curn=#2 Scale=2 ch:fd transpose:y NULL=BLANK",,C13,C12)</f>
        <v>0</v>
      </c>
      <c r="E126" s="7"/>
      <c r="F126" s="7"/>
      <c r="G126" s="7"/>
      <c r="H126" s="7"/>
      <c r="I126" s="7"/>
    </row>
    <row r="127" spans="2:9" s="10" ht="15">
      <c r="B127" s="7" t="s">
        <v>19</v>
      </c>
      <c r="C127" s="7" t="s">
        <v>20</v>
      </c>
      <c r="D127" s="7">
        <f>TR(C5,"TR.EMSCertifiedPct","#1 curn=#2 Scale=2 ch:fd transpose:y NULL=BLANK",,C13,C12)</f>
        <v>0</v>
      </c>
      <c r="E127" s="7"/>
      <c r="F127" s="7"/>
      <c r="G127" s="7"/>
      <c r="H127" s="7"/>
      <c r="I127" s="7"/>
    </row>
    <row r="128" spans="2:9" s="10" ht="15">
      <c r="B128" s="7" t="s">
        <v>19</v>
      </c>
      <c r="C128" s="7" t="s">
        <v>20</v>
      </c>
      <c r="D128" s="7">
        <f>TR(C5,"TR.EnvRestorationInitiatives","#1 curn=#2 Scale=2 ch:fd transpose:y NULL=BLANK",,C13,C12)</f>
        <v>0</v>
      </c>
      <c r="E128" s="7"/>
      <c r="F128" s="7"/>
      <c r="G128" s="7"/>
      <c r="H128" s="7"/>
      <c r="I128" s="7"/>
    </row>
    <row r="129" spans="2:9" s="10" ht="15">
      <c r="B129" s="7" t="s">
        <v>19</v>
      </c>
      <c r="C129" s="7" t="s">
        <v>20</v>
      </c>
      <c r="D129" s="7">
        <f>TR(C5,"TR.StaffTransportationReduction","#1 curn=#2 Scale=2 ch:fd transpose:y NULL=BLANK",,C13,C12)</f>
        <v>0</v>
      </c>
      <c r="E129" s="7"/>
      <c r="F129" s="7"/>
      <c r="G129" s="7"/>
      <c r="H129" s="7"/>
      <c r="I129" s="7"/>
    </row>
    <row r="130" spans="2:9" s="10" ht="15">
      <c r="B130" s="7" t="s">
        <v>17</v>
      </c>
      <c r="C130" s="7" t="s">
        <v>20</v>
      </c>
      <c r="D130" s="7">
        <f>TR(C5,"TR.AnalyticAccidentalSpills","#1 curn=#2 Scale=2 ch:fd transpose:y NULL=BLANK",,C13,C12)</f>
        <v>0</v>
      </c>
      <c r="E130" s="7"/>
      <c r="F130" s="7"/>
      <c r="G130" s="7"/>
      <c r="H130" s="7"/>
      <c r="I130" s="7"/>
    </row>
    <row r="131" spans="2:9" s="10" ht="15">
      <c r="B131" s="7" t="s">
        <v>17</v>
      </c>
      <c r="C131" s="7" t="s">
        <v>20</v>
      </c>
      <c r="D131" s="7">
        <f>TR(C5,"TR.AccidentalSpills","#1 curn=#2 Scale=2 ch:fd transpose:y NULL=BLANK",,C13,C12)</f>
        <v>0</v>
      </c>
      <c r="E131" s="7"/>
      <c r="F131" s="7"/>
      <c r="G131" s="7"/>
      <c r="H131" s="7"/>
      <c r="I131" s="7"/>
    </row>
    <row r="132" spans="2:9" s="10" ht="15">
      <c r="B132" s="7" t="s">
        <v>19</v>
      </c>
      <c r="C132" s="7" t="s">
        <v>20</v>
      </c>
      <c r="D132" s="7">
        <f>TR(C5,"TR.AnalyticEnvExpenditures","#1 curn=#2 Scale=2 ch:fd transpose:y NULL=BLANK",,C13,C12)</f>
        <v>0</v>
      </c>
      <c r="E132" s="7"/>
      <c r="F132" s="7"/>
      <c r="G132" s="7"/>
      <c r="H132" s="7"/>
      <c r="I132" s="7"/>
    </row>
    <row r="133" spans="2:9" s="10" ht="15">
      <c r="B133" s="7" t="s">
        <v>17</v>
      </c>
      <c r="C133" s="7" t="s">
        <v>20</v>
      </c>
      <c r="D133" s="7">
        <f>TR(C5,"TR.EnvExpenditures","#1 curn=#2 Scale=2 ch:fd transpose:y NULL=BLANK",,C13,C12)</f>
        <v>0</v>
      </c>
      <c r="E133" s="7"/>
      <c r="F133" s="7"/>
      <c r="G133" s="7"/>
      <c r="H133" s="7"/>
      <c r="I133" s="7"/>
    </row>
    <row r="134" spans="2:9" s="10" ht="15">
      <c r="B134" s="7" t="s">
        <v>17</v>
      </c>
      <c r="C134" s="7" t="s">
        <v>20</v>
      </c>
      <c r="D134" s="7">
        <f>TR(C5,"TR.EnvProvisions","#1 curn=#2 Scale=2 ch:fd transpose:y NULL=BLANK",,C13,C12)</f>
        <v>0</v>
      </c>
      <c r="E134" s="7"/>
      <c r="F134" s="7"/>
      <c r="G134" s="7"/>
      <c r="H134" s="7"/>
      <c r="I134" s="7"/>
    </row>
    <row r="135" spans="2:9" s="10" ht="15">
      <c r="B135" s="7" t="s">
        <v>17</v>
      </c>
      <c r="C135" s="7" t="s">
        <v>20</v>
      </c>
      <c r="D135" s="7">
        <f>TR(C5,"TR.EnvInvestments","#1 curn=#2 Scale=2 ch:fd transpose:y NULL=BLANK",,C13,C12)</f>
        <v>0</v>
      </c>
      <c r="E135" s="7"/>
      <c r="F135" s="7"/>
      <c r="G135" s="7"/>
      <c r="H135" s="7"/>
      <c r="I135" s="7"/>
    </row>
    <row r="136" spans="2:9" s="10" ht="15">
      <c r="B136" s="7" t="s">
        <v>19</v>
      </c>
      <c r="C136" s="7" t="s">
        <v>20</v>
      </c>
      <c r="D136" s="7">
        <f>TR(C5,"TR.AnalyticSelfReportedEnvFines","#1 curn=#2 Scale=2 ch:fd transpose:y NULL=BLANK",,C13,C12)</f>
        <v>0</v>
      </c>
      <c r="E136" s="7"/>
      <c r="F136" s="7"/>
      <c r="G136" s="7"/>
      <c r="H136" s="7"/>
      <c r="I136" s="7"/>
    </row>
    <row r="137" spans="2:9" s="10" ht="15">
      <c r="B137" s="7" t="s">
        <v>17</v>
      </c>
      <c r="C137" s="7" t="s">
        <v>20</v>
      </c>
      <c r="D137" s="7">
        <f>TR(C5,"TR.SelfReportedEnvFines","#1 curn=#2 Scale=2 ch:fd transpose:y NULL=BLANK",,C13,C12)</f>
        <v>0</v>
      </c>
      <c r="E137" s="7"/>
      <c r="F137" s="7"/>
      <c r="G137" s="7"/>
      <c r="H137" s="7"/>
      <c r="I137" s="7"/>
    </row>
    <row r="138" spans="2:9" s="10" ht="15">
      <c r="B138" s="7" t="s">
        <v>19</v>
      </c>
      <c r="C138" s="7" t="s">
        <v>20</v>
      </c>
      <c r="D138" s="7">
        <f>TR(C5,"TR.EnvPartnerships","#1 curn=#2 Scale=2 ch:fd transpose:y NULL=BLANK",,C13,C12)</f>
        <v>0</v>
      </c>
      <c r="E138" s="7"/>
      <c r="F138" s="7"/>
      <c r="G138" s="7"/>
      <c r="H138" s="7"/>
      <c r="I138" s="7"/>
    </row>
    <row r="139" spans="2:9" s="10" ht="15">
      <c r="B139" s="7" t="s">
        <v>17</v>
      </c>
      <c r="C139" s="7" t="s">
        <v>20</v>
      </c>
      <c r="D139" s="7">
        <f>TR(C5,"TR.InternalCarbonPricing","#1 curn=#2 Scale=2 ch:fd transpose:y NULL=BLANK",,C13,C12)</f>
        <v>0</v>
      </c>
      <c r="E139" s="7"/>
      <c r="F139" s="7"/>
      <c r="G139" s="7"/>
      <c r="H139" s="7"/>
      <c r="I139" s="7"/>
    </row>
    <row r="140" spans="2:9" s="10" ht="15">
      <c r="B140" s="7" t="s">
        <v>17</v>
      </c>
      <c r="C140" s="7" t="s">
        <v>20</v>
      </c>
      <c r="D140" s="7">
        <f>TR(C5,"TR.InternalCarbonPriceTonne","#1 curn=#2 Scale=2 ch:fd transpose:y NULL=BLANK",,C13,C12)</f>
        <v>0</v>
      </c>
      <c r="E140" s="7"/>
      <c r="F140" s="7"/>
      <c r="G140" s="7"/>
      <c r="H140" s="7"/>
      <c r="I140" s="7"/>
    </row>
    <row r="141" spans="2:9" s="10" ht="15">
      <c r="B141" s="7" t="s">
        <v>17</v>
      </c>
      <c r="C141" s="7" t="s">
        <v>20</v>
      </c>
      <c r="D141" s="7">
        <f>TR(C5,"TR.PolicyNuclearSafety","#1 curn=#2 Scale=2 ch:fd transpose:y NULL=BLANK",,C13,C12)</f>
        <v>0</v>
      </c>
      <c r="E141" s="7"/>
      <c r="F141" s="7"/>
      <c r="G141" s="7"/>
      <c r="H141" s="7"/>
      <c r="I141" s="7"/>
    </row>
    <row r="142" spans="2:9" s="10" ht="15">
      <c r="B142" s="7" t="s">
        <v>17</v>
      </c>
      <c r="C142" s="7" t="s">
        <v>20</v>
      </c>
      <c r="D142" s="7">
        <f>TR(C5,"TR.EmissionsTargetType","#1 curn=#2 Scale=2 ch:fd transpose:y NULL=BLANK",,C13,C12)</f>
        <v>0</v>
      </c>
      <c r="E142" s="7"/>
      <c r="F142" s="7"/>
      <c r="G142" s="7"/>
      <c r="H142" s="7"/>
      <c r="I142" s="7"/>
    </row>
    <row r="143" spans="2:9" s="10" ht="15">
      <c r="B143" s="7" t="s">
        <v>17</v>
      </c>
      <c r="C143" s="7" t="s">
        <v>20</v>
      </c>
      <c r="D143" s="7">
        <f>TR(C5,"TR.GHGEmissionMethod","#1 curn=#2 Scale=2 ch:fd transpose:y NULL=BLANK",,C13,C12)</f>
        <v>0</v>
      </c>
      <c r="E143" s="7"/>
      <c r="F143" s="7"/>
      <c r="G143" s="7"/>
      <c r="H143" s="7"/>
      <c r="I143" s="7"/>
    </row>
    <row r="144" spans="2:9" s="10" ht="15">
      <c r="B144" s="7" t="s">
        <v>17</v>
      </c>
      <c r="C144" s="7" t="s">
        <v>20</v>
      </c>
      <c r="D144" s="7">
        <f>TR(C5,"TR.EmissionsTargetAnnualReduction","#1 curn=#2 Scale=2 ch:fd transpose:y NULL=BLANK",,C13,C12)</f>
        <v>0</v>
      </c>
      <c r="E144" s="7"/>
      <c r="F144" s="7"/>
      <c r="G144" s="7"/>
      <c r="H144" s="7"/>
      <c r="I144" s="7"/>
    </row>
    <row r="145" spans="2:9" s="10" ht="15">
      <c r="B145" s="7" t="s">
        <v>17</v>
      </c>
      <c r="C145" s="7" t="s">
        <v>20</v>
      </c>
      <c r="D145" s="7">
        <f>TR(C5,"TR.FleetCO2EmissionsperPassenger","#1 curn=#2 Scale=2 ch:fd transpose:y NULL=BLANK",,C13,C12)</f>
        <v>0</v>
      </c>
      <c r="E145" s="7"/>
      <c r="F145" s="7"/>
      <c r="G145" s="7"/>
      <c r="H145" s="7"/>
      <c r="I145" s="7"/>
    </row>
    <row r="146" spans="2:9" s="10" ht="15">
      <c r="B146" s="7" t="s">
        <v>17</v>
      </c>
      <c r="C146" s="7" t="s">
        <v>20</v>
      </c>
      <c r="D146" s="7">
        <f>TR(C5,"TR.CarbonIntensityperEnergyProduced","#1 curn=#2 Scale=2 ch:fd transpose:y NULL=BLANK",,C13,C12)</f>
        <v>0</v>
      </c>
      <c r="E146" s="7"/>
      <c r="F146" s="7"/>
      <c r="G146" s="7"/>
      <c r="H146" s="7"/>
      <c r="I146" s="7"/>
    </row>
    <row r="147" spans="2:9" s="10" ht="15">
      <c r="B147" s="7" t="s">
        <v>17</v>
      </c>
      <c r="C147" s="7" t="s">
        <v>20</v>
      </c>
      <c r="D147" s="7">
        <f>TR(C5,"TR.CarbonIntensityperClinkerProduced","#1 curn=#2 Scale=2 ch:fd transpose:y NULL=BLANK",,C13,C12)</f>
        <v>0</v>
      </c>
      <c r="E147" s="7"/>
      <c r="F147" s="7"/>
      <c r="G147" s="7"/>
      <c r="H147" s="7"/>
      <c r="I147" s="7"/>
    </row>
    <row r="148" spans="2:9" s="10" ht="15">
      <c r="B148" s="7" t="s">
        <v>17</v>
      </c>
      <c r="C148" s="7" t="s">
        <v>20</v>
      </c>
      <c r="D148" s="7">
        <f>TR(C5,"TR.UpstreamScope3PurchasedGoodsandServices","#1 curn=#2 Scale=2 ch:fd transpose:y NULL=BLANK",,C13,C12)</f>
        <v>0</v>
      </c>
      <c r="E148" s="7"/>
      <c r="F148" s="7"/>
      <c r="G148" s="7"/>
      <c r="H148" s="7"/>
      <c r="I148" s="7"/>
    </row>
    <row r="149" spans="2:9" s="10" ht="15">
      <c r="B149" s="7" t="s">
        <v>17</v>
      </c>
      <c r="C149" s="7" t="s">
        <v>20</v>
      </c>
      <c r="D149" s="7">
        <f>TR(C5,"TR.UpstreamScope3CapitalGoods","#1 curn=#2 Scale=2 ch:fd transpose:y NULL=BLANK",,C13,C12)</f>
        <v>0</v>
      </c>
      <c r="E149" s="7"/>
      <c r="F149" s="7"/>
      <c r="G149" s="7"/>
      <c r="H149" s="7"/>
      <c r="I149" s="7"/>
    </row>
    <row r="150" spans="2:9" s="10" ht="15">
      <c r="B150" s="7" t="s">
        <v>17</v>
      </c>
      <c r="C150" s="7" t="s">
        <v>20</v>
      </c>
      <c r="D150" s="7">
        <f>TR(C5,"TR.UpstreamScope3FuelAndEnergy","#1 curn=#2 Scale=2 ch:fd transpose:y NULL=BLANK",,C13,C12)</f>
        <v>0</v>
      </c>
      <c r="E150" s="7"/>
      <c r="F150" s="7"/>
      <c r="G150" s="7"/>
      <c r="H150" s="7"/>
      <c r="I150" s="7"/>
    </row>
    <row r="151" spans="2:9" s="10" ht="15">
      <c r="B151" s="7" t="s">
        <v>17</v>
      </c>
      <c r="C151" s="7" t="s">
        <v>20</v>
      </c>
      <c r="D151" s="7">
        <f>TR(C5,"TR.UpstreamScope3TransportationandDistribution","#1 curn=#2 Scale=2 ch:fd transpose:y NULL=BLANK",,C13,C12)</f>
        <v>0</v>
      </c>
      <c r="E151" s="7"/>
      <c r="F151" s="7"/>
      <c r="G151" s="7"/>
      <c r="H151" s="7"/>
      <c r="I151" s="7"/>
    </row>
    <row r="152" spans="2:9" s="10" ht="15">
      <c r="B152" s="7" t="s">
        <v>17</v>
      </c>
      <c r="C152" s="7" t="s">
        <v>20</v>
      </c>
      <c r="D152" s="7">
        <f>TR(C5,"TR.UpstreamScope3WasteGeneratedinOperations","#1 curn=#2 Scale=2 ch:fd transpose:y NULL=BLANK",,C13,C12)</f>
        <v>0</v>
      </c>
      <c r="E152" s="7"/>
      <c r="F152" s="7"/>
      <c r="G152" s="7"/>
      <c r="H152" s="7"/>
      <c r="I152" s="7"/>
    </row>
    <row r="153" spans="2:9" s="10" ht="15">
      <c r="B153" s="7" t="s">
        <v>17</v>
      </c>
      <c r="C153" s="7" t="s">
        <v>20</v>
      </c>
      <c r="D153" s="7">
        <f>TR(C5,"TR.UpstreamScope3BusinessTravel","#1 curn=#2 Scale=2 ch:fd transpose:y NULL=BLANK",,C13,C12)</f>
        <v>0</v>
      </c>
      <c r="E153" s="7"/>
      <c r="F153" s="7"/>
      <c r="G153" s="7"/>
      <c r="H153" s="7"/>
      <c r="I153" s="7"/>
    </row>
    <row r="154" spans="2:9" s="10" ht="15">
      <c r="B154" s="7" t="s">
        <v>17</v>
      </c>
      <c r="C154" s="7" t="s">
        <v>20</v>
      </c>
      <c r="D154" s="7">
        <f>TR(C5,"TR.UpstreamScope3EmployeeCommuting","#1 curn=#2 Scale=2 ch:fd transpose:y NULL=BLANK",,C13,C12)</f>
        <v>0</v>
      </c>
      <c r="E154" s="7"/>
      <c r="F154" s="7"/>
      <c r="G154" s="7"/>
      <c r="H154" s="7"/>
      <c r="I154" s="7"/>
    </row>
    <row r="155" spans="2:9" s="10" ht="15">
      <c r="B155" s="7" t="s">
        <v>17</v>
      </c>
      <c r="C155" s="7" t="s">
        <v>20</v>
      </c>
      <c r="D155" s="7">
        <f>TR(C5,"TR.UpstreamScope3LeasedAssets","#1 curn=#2 Scale=2 ch:fd transpose:y NULL=BLANK",,C13,C12)</f>
        <v>0</v>
      </c>
      <c r="E155" s="7"/>
      <c r="F155" s="7"/>
      <c r="G155" s="7"/>
      <c r="H155" s="7"/>
      <c r="I155" s="7"/>
    </row>
    <row r="156" spans="2:9" s="10" ht="15">
      <c r="B156" s="7" t="s">
        <v>17</v>
      </c>
      <c r="C156" s="7" t="s">
        <v>20</v>
      </c>
      <c r="D156" s="7">
        <f>TR(C5,"TR.DownstreamScope3TransportationandDistribution","#1 curn=#2 Scale=2 ch:fd transpose:y NULL=BLANK",,C13,C12)</f>
        <v>0</v>
      </c>
      <c r="E156" s="7"/>
      <c r="F156" s="7"/>
      <c r="G156" s="7"/>
      <c r="H156" s="7"/>
      <c r="I156" s="7"/>
    </row>
    <row r="157" spans="2:9" s="10" ht="15">
      <c r="B157" s="7" t="s">
        <v>17</v>
      </c>
      <c r="C157" s="7" t="s">
        <v>20</v>
      </c>
      <c r="D157" s="7">
        <f>TR(C5,"TR.DownstreamScope3ProcessingofSoldProducts","#1 curn=#2 Scale=2 ch:fd transpose:y NULL=BLANK",,C13,C12)</f>
        <v>0</v>
      </c>
      <c r="E157" s="7"/>
      <c r="F157" s="7"/>
      <c r="G157" s="7"/>
      <c r="H157" s="7"/>
      <c r="I157" s="7"/>
    </row>
    <row r="158" spans="2:9" s="10" ht="15">
      <c r="B158" s="7" t="s">
        <v>17</v>
      </c>
      <c r="C158" s="7" t="s">
        <v>20</v>
      </c>
      <c r="D158" s="7">
        <f>TR(C5,"TR.DownstreamScope3UseofSoldProducts","#1 curn=#2 Scale=2 ch:fd transpose:y NULL=BLANK",,C13,C12)</f>
        <v>0</v>
      </c>
      <c r="E158" s="7"/>
      <c r="F158" s="7"/>
      <c r="G158" s="7"/>
      <c r="H158" s="7"/>
      <c r="I158" s="7"/>
    </row>
    <row r="159" spans="2:9" s="10" ht="15">
      <c r="B159" s="7" t="s">
        <v>17</v>
      </c>
      <c r="C159" s="7" t="s">
        <v>20</v>
      </c>
      <c r="D159" s="7">
        <f>TR(C5,"TR.DownstreamScope3EndOfLifeTreatmentOfSold","#1 curn=#2 Scale=2 ch:fd transpose:y NULL=BLANK",,C13,C12)</f>
        <v>0</v>
      </c>
      <c r="E159" s="7"/>
      <c r="F159" s="7"/>
      <c r="G159" s="7"/>
      <c r="H159" s="7"/>
      <c r="I159" s="7"/>
    </row>
    <row r="160" spans="2:9" s="10" ht="15">
      <c r="B160" s="7" t="s">
        <v>17</v>
      </c>
      <c r="C160" s="7" t="s">
        <v>20</v>
      </c>
      <c r="D160" s="7">
        <f>TR(C5,"TR.DownstreamScope3LeasedAssets","#1 curn=#2 Scale=2 ch:fd transpose:y NULL=BLANK",,C13,C12)</f>
        <v>0</v>
      </c>
      <c r="E160" s="7"/>
      <c r="F160" s="7"/>
      <c r="G160" s="7"/>
      <c r="H160" s="7"/>
      <c r="I160" s="7"/>
    </row>
    <row r="161" spans="2:9" s="10" ht="15">
      <c r="B161" s="7" t="s">
        <v>17</v>
      </c>
      <c r="C161" s="7" t="s">
        <v>20</v>
      </c>
      <c r="D161" s="7">
        <f>TR(C5,"TR.DownstreamScope3Franchises","#1 curn=#2 Scale=2 ch:fd transpose:y NULL=BLANK",,C13,C12)</f>
        <v>0</v>
      </c>
      <c r="E161" s="7"/>
      <c r="F161" s="7"/>
      <c r="G161" s="7"/>
      <c r="H161" s="7"/>
      <c r="I161" s="7"/>
    </row>
    <row r="162" spans="2:9" s="10" ht="15">
      <c r="B162" s="7" t="s">
        <v>17</v>
      </c>
      <c r="C162" s="7" t="s">
        <v>20</v>
      </c>
      <c r="D162" s="7">
        <f>TR(C5,"TR.DownstreamScope3Investments","#1 curn=#2 Scale=2 ch:fd transpose:y NULL=BLANK",,C13,C12)</f>
        <v>0</v>
      </c>
      <c r="E162" s="7"/>
      <c r="F162" s="7"/>
      <c r="G162" s="7"/>
      <c r="H162" s="7"/>
      <c r="I162" s="7"/>
    </row>
    <row r="163" spans="2:9" s="10" ht="15">
      <c r="B163" s="7" t="s">
        <v>17</v>
      </c>
      <c r="C163" s="7" t="s">
        <v>20</v>
      </c>
      <c r="D163" s="7">
        <f>TR(C5,"TR.Scope3OtherUpstream","#1 curn=#2 Scale=2 ch:fd transpose:y NULL=BLANK",,C13,C12)</f>
        <v>0</v>
      </c>
      <c r="E163" s="7"/>
      <c r="F163" s="7"/>
      <c r="G163" s="7"/>
      <c r="H163" s="7"/>
      <c r="I163" s="7"/>
    </row>
    <row r="164" spans="2:9" s="10" ht="15">
      <c r="B164" s="7" t="s">
        <v>17</v>
      </c>
      <c r="C164" s="7" t="s">
        <v>20</v>
      </c>
      <c r="D164" s="7">
        <f>TR(C5,"TR.Scope3OtherDownstream","#1 curn=#2 Scale=2 ch:fd transpose:y NULL=BLANK",,C13,C12)</f>
        <v>0</v>
      </c>
      <c r="E164" s="7"/>
      <c r="F164" s="7"/>
      <c r="G164" s="7"/>
      <c r="H164" s="7"/>
      <c r="I164" s="7"/>
    </row>
    <row r="165" spans="2:9" s="10" ht="15">
      <c r="B165" s="7" t="s">
        <v>17</v>
      </c>
      <c r="C165" s="7" t="s">
        <v>20</v>
      </c>
      <c r="D165" s="7">
        <f>TR(C5,"TR.ClimateRelatedRisksAssessmentProcess","#1 curn=#2 Scale=2 ch:fd transpose:y NULL=BLANK",,C13,C12)</f>
        <v>0</v>
      </c>
      <c r="E165" s="7"/>
      <c r="F165" s="7"/>
      <c r="G165" s="7"/>
      <c r="H165" s="7"/>
      <c r="I165" s="7"/>
    </row>
    <row r="166" spans="2:9" s="10" ht="15">
      <c r="B166" s="7" t="s">
        <v>17</v>
      </c>
      <c r="C166" s="7" t="s">
        <v>20</v>
      </c>
      <c r="D166" s="7">
        <f>TR(C5,"TR.TransitionPlanFinancialPlanning","#1 curn=#2 Scale=2 ch:fd transpose:y NULL=BLANK",,C13,C12)</f>
        <v>0</v>
      </c>
      <c r="E166" s="7"/>
      <c r="F166" s="7"/>
      <c r="G166" s="7"/>
      <c r="H166" s="7"/>
      <c r="I166" s="7"/>
    </row>
    <row r="167" spans="2:9" s="10" ht="15">
      <c r="B167" s="7" t="s">
        <v>17</v>
      </c>
      <c r="C167" s="7" t="s">
        <v>20</v>
      </c>
      <c r="D167" s="7">
        <f>TR(C5,"TR.TransitionPlanScope3Emissions","#1 curn=#2 Scale=2 ch:fd transpose:y NULL=BLANK",,C13,C12)</f>
        <v>0</v>
      </c>
      <c r="E167" s="7"/>
      <c r="F167" s="7"/>
      <c r="G167" s="7"/>
      <c r="H167" s="7"/>
      <c r="I167" s="7"/>
    </row>
    <row r="168" spans="2:9" s="10" ht="15">
      <c r="B168" s="7" t="s">
        <v>17</v>
      </c>
      <c r="C168" s="7" t="s">
        <v>20</v>
      </c>
      <c r="D168" s="7">
        <f>TR(C5,"TR.TransitionPlanTimeHorizonCoverage","#1 curn=#2 Scale=2 ch:fd transpose:y NULL=BLANK",,C13,C12)</f>
        <v>0</v>
      </c>
      <c r="E168" s="7"/>
      <c r="F168" s="7"/>
      <c r="G168" s="7"/>
      <c r="H168" s="7"/>
      <c r="I168" s="7"/>
    </row>
    <row r="169" spans="2:9" s="10" ht="15">
      <c r="B169" s="7" t="s">
        <v>17</v>
      </c>
      <c r="C169" s="7" t="s">
        <v>20</v>
      </c>
      <c r="D169" s="7">
        <f>TR(C5,"TR.TransitionPlanOffsets","#1 curn=#2 Scale=2 ch:fd transpose:y NULL=BLANK",,C13,C12)</f>
        <v>0</v>
      </c>
      <c r="E169" s="7"/>
      <c r="F169" s="7"/>
      <c r="G169" s="7"/>
      <c r="H169" s="7"/>
      <c r="I169" s="7"/>
    </row>
    <row r="170" spans="2:9" s="10" ht="15">
      <c r="B170" s="7" t="s">
        <v>17</v>
      </c>
      <c r="C170" s="7" t="s">
        <v>20</v>
      </c>
      <c r="D170" s="7">
        <f>TR(C5,"TR.FinancialExposureToTransitionRisk","#1 curn=#2 Scale=2 ch:fd transpose:y NULL=BLANK",,C13,C12)</f>
        <v>0</v>
      </c>
      <c r="E170" s="7"/>
      <c r="F170" s="7"/>
      <c r="G170" s="7"/>
      <c r="H170" s="7"/>
      <c r="I170" s="7"/>
    </row>
    <row r="171" spans="2:9" s="10" ht="15">
      <c r="B171" s="7" t="s">
        <v>17</v>
      </c>
      <c r="C171" s="7" t="s">
        <v>20</v>
      </c>
      <c r="D171" s="7">
        <f>TR(C5,"TR.FinancialExposureToPhysicalRisk","#1 curn=#2 Scale=2 ch:fd transpose:y NULL=BLANK",,C13,C12)</f>
        <v>0</v>
      </c>
      <c r="E171" s="7"/>
      <c r="F171" s="7"/>
      <c r="G171" s="7"/>
      <c r="H171" s="7"/>
      <c r="I171" s="7"/>
    </row>
    <row r="172" spans="2:9" s="10" ht="15">
      <c r="B172" s="7" t="s">
        <v>17</v>
      </c>
      <c r="C172" s="7" t="s">
        <v>20</v>
      </c>
      <c r="D172" s="7">
        <f>TR(C5,"TR.PortfolioAlignment","#1 curn=#2 Scale=2 ch:fd transpose:y NULL=BLANK",,C13,C12)</f>
        <v>0</v>
      </c>
      <c r="E172" s="7"/>
      <c r="F172" s="7"/>
      <c r="G172" s="7"/>
      <c r="H172" s="7"/>
      <c r="I172" s="7"/>
    </row>
    <row r="173" spans="2:9" s="10" ht="15">
      <c r="B173" s="7" t="s">
        <v>17</v>
      </c>
      <c r="C173" s="7" t="s">
        <v>20</v>
      </c>
      <c r="D173" s="7">
        <f>TR(C5,"TR.AnalyticCO2EVIC","#1 curn=#2 Scale=2 ch:fd transpose:y NULL=BLANK",,C13,C12)</f>
        <v>0</v>
      </c>
      <c r="E173" s="7"/>
      <c r="F173" s="7"/>
      <c r="G173" s="7"/>
      <c r="H173" s="7"/>
      <c r="I173" s="7"/>
    </row>
    <row r="174" spans="2:9" s="10" ht="15">
      <c r="B174" s="7" t="s">
        <v>17</v>
      </c>
      <c r="C174" s="7" t="s">
        <v>20</v>
      </c>
      <c r="D174" s="7">
        <f>TR(C5,"TR.AnalyticTotalWasteEVIC","#1 curn=#2 Scale=2 ch:fd transpose:y NULL=BLANK",,C13,C12)</f>
        <v>0</v>
      </c>
      <c r="E174" s="7"/>
      <c r="F174" s="7"/>
      <c r="G174" s="7"/>
      <c r="H174" s="7"/>
      <c r="I174" s="7"/>
    </row>
    <row r="175" spans="2:9" s="10" ht="15">
      <c r="B175" s="7" t="s">
        <v>17</v>
      </c>
      <c r="C175" s="7" t="s">
        <v>20</v>
      </c>
      <c r="D175" s="7">
        <f>TR(C5,"TR.AnalyticHazardousWasteEVIC","#1 curn=#2 Scale=2 ch:fd transpose:y NULL=BLANK",,C13,C12)</f>
        <v>0</v>
      </c>
      <c r="E175" s="7"/>
      <c r="F175" s="7"/>
      <c r="G175" s="7"/>
      <c r="H175" s="7"/>
      <c r="I175" s="7"/>
    </row>
    <row r="176" spans="2:9" s="10" ht="15">
      <c r="B176" s="7" t="s">
        <v>17</v>
      </c>
      <c r="C176" s="7" t="s">
        <v>20</v>
      </c>
      <c r="D176" s="7">
        <f>TR(C5,"TR.AnalyticDischargeWaterSystemEVIC","#1 curn=#2 Scale=2 ch:fd transpose:y NULL=BLANK",,C13,C12)</f>
        <v>0</v>
      </c>
      <c r="E176" s="7"/>
      <c r="F176" s="7"/>
      <c r="G176" s="7"/>
      <c r="H176" s="7"/>
      <c r="I176" s="7"/>
    </row>
    <row r="177" spans="2:9" s="10" ht="15">
      <c r="B177" s="7" t="s">
        <v>17</v>
      </c>
      <c r="C177" s="7" t="s">
        <v>20</v>
      </c>
      <c r="D177" s="7">
        <f>TR(C5,"TR.AnalyticFlaringGasesEVIC","#1 curn=#2 Scale=2 ch:fd transpose:y NULL=BLANK",,C13,C12)</f>
        <v>0</v>
      </c>
      <c r="E177" s="7"/>
      <c r="F177" s="7"/>
      <c r="G177" s="7"/>
      <c r="H177" s="7"/>
      <c r="I177" s="7"/>
    </row>
    <row r="178" spans="2:9" s="10" ht="15">
      <c r="B178" s="7" t="s">
        <v>17</v>
      </c>
      <c r="C178" s="7" t="s">
        <v>20</v>
      </c>
      <c r="D178" s="7">
        <f>TR(C5,"TR.AnalyticOzoneDepletingSubstancesEVIC","#1 curn=#2 Scale=2 ch:fd transpose:y NULL=BLANK",,C13,C12)</f>
        <v>0</v>
      </c>
      <c r="E178" s="7"/>
      <c r="F178" s="7"/>
      <c r="G178" s="7"/>
      <c r="H178" s="7"/>
      <c r="I178" s="7"/>
    </row>
    <row r="179" spans="2:9" s="10" ht="15">
      <c r="B179" s="7" t="s">
        <v>17</v>
      </c>
      <c r="C179" s="7" t="s">
        <v>20</v>
      </c>
      <c r="D179" s="7">
        <f>TR(C5,"TR.AnalyticNOxEmissionsEVIC","#1 curn=#2 Scale=2 ch:fd transpose:y NULL=BLANK",,C13,C12)</f>
        <v>0</v>
      </c>
      <c r="E179" s="7"/>
      <c r="F179" s="7"/>
      <c r="G179" s="7"/>
      <c r="H179" s="7"/>
      <c r="I179" s="7"/>
    </row>
    <row r="180" spans="2:9" s="10" ht="15">
      <c r="B180" s="7" t="s">
        <v>17</v>
      </c>
      <c r="C180" s="7" t="s">
        <v>20</v>
      </c>
      <c r="D180" s="7">
        <f>TR(C5,"TR.AnalyticSOxEmissionsEVIC","#1 curn=#2 Scale=2 ch:fd transpose:y NULL=BLANK",,C13,C12)</f>
        <v>0</v>
      </c>
      <c r="E180" s="7"/>
      <c r="F180" s="7"/>
      <c r="G180" s="7"/>
      <c r="H180" s="7"/>
      <c r="I180" s="7"/>
    </row>
    <row r="181" spans="2:9" s="10" ht="15">
      <c r="B181" s="7" t="s">
        <v>17</v>
      </c>
      <c r="C181" s="7" t="s">
        <v>20</v>
      </c>
      <c r="D181" s="7">
        <f>TR(C5,"TR.AnalyticVOCEmissionsEVIC","#1 curn=#2 Scale=2 ch:fd transpose:y NULL=BLANK",,C13,C12)</f>
        <v>0</v>
      </c>
      <c r="E181" s="7"/>
      <c r="F181" s="7"/>
      <c r="G181" s="7"/>
      <c r="H181" s="7"/>
      <c r="I181" s="7"/>
    </row>
    <row r="182" spans="2:9" s="10" ht="15">
      <c r="B182" s="7" t="s">
        <v>17</v>
      </c>
      <c r="C182" s="7" t="s">
        <v>20</v>
      </c>
      <c r="D182" s="7">
        <f>TR(C5,"TR.AnalyticAccidentalSpillsEVIC","#1 curn=#2 Scale=2 ch:fd transpose:y NULL=BLANK",,C13,C12)</f>
        <v>0</v>
      </c>
      <c r="E182" s="7"/>
      <c r="F182" s="7"/>
      <c r="G182" s="7"/>
      <c r="H182" s="7"/>
      <c r="I182" s="7"/>
    </row>
    <row r="183" spans="2:9" s="10" ht="15">
      <c r="B183" s="7" t="s">
        <v>17</v>
      </c>
      <c r="C183" s="7" t="s">
        <v>20</v>
      </c>
      <c r="D183" s="7">
        <f>TR(C5,"TR.AnalyticCO2IndirectScope3EVIC","#1 curn=#2 Scale=2 ch:fd transpose:y NULL=BLANK",,C13,C12)</f>
        <v>0</v>
      </c>
      <c r="E183" s="7"/>
      <c r="F183" s="7"/>
      <c r="G183" s="7"/>
      <c r="H183" s="7"/>
      <c r="I183" s="7"/>
    </row>
    <row r="184" spans="2:9" s="10" ht="15">
      <c r="B184" s="7" t="s">
        <v>17</v>
      </c>
      <c r="C184" s="7" t="s">
        <v>20</v>
      </c>
      <c r="D184" s="7">
        <f>TR(C5,"TR.AnalyticGHGEmissionsScope1and2PerAluminumProduction","#1 curn=#2 Scale=2 ch:fd transpose:y NULL=BLANK",,C13,C12)</f>
        <v>0</v>
      </c>
      <c r="E184" s="7"/>
      <c r="F184" s="7"/>
      <c r="G184" s="7"/>
      <c r="H184" s="7"/>
      <c r="I184" s="7"/>
    </row>
    <row r="185" spans="2:9" s="10" ht="15">
      <c r="B185" s="7" t="s">
        <v>17</v>
      </c>
      <c r="C185" s="7" t="s">
        <v>20</v>
      </c>
      <c r="D185" s="7">
        <f>TR(C5,"TR.AnalyticGHGEmissionsScope1and2PerCarbonBlackProduction","#1 curn=#2 Scale=2 ch:fd transpose:y NULL=BLANK",,C13,C12)</f>
        <v>0</v>
      </c>
      <c r="E185" s="7"/>
      <c r="F185" s="7"/>
      <c r="G185" s="7"/>
      <c r="H185" s="7"/>
      <c r="I185" s="7"/>
    </row>
    <row r="186" spans="2:9" s="10" ht="15">
      <c r="B186" s="7" t="s">
        <v>17</v>
      </c>
      <c r="C186" s="7" t="s">
        <v>20</v>
      </c>
      <c r="D186" s="7">
        <f>TR(C5,"TR.AnalyticGHGEmissionsScope1and2PerCokeProduction","#1 curn=#2 Scale=2 ch:fd transpose:y NULL=BLANK",,C13,C12)</f>
        <v>0</v>
      </c>
      <c r="E186" s="7"/>
      <c r="F186" s="7"/>
      <c r="G186" s="7"/>
      <c r="H186" s="7"/>
      <c r="I186" s="7"/>
    </row>
    <row r="187" spans="2:9" s="10" ht="15">
      <c r="B187" s="7" t="s">
        <v>17</v>
      </c>
      <c r="C187" s="7" t="s">
        <v>20</v>
      </c>
      <c r="D187" s="7">
        <f>TR(C5,"TR.AnalyticGHGEmissionsScope1and2PerEAFCarbonSteelProduction","#1 curn=#2 Scale=2 ch:fd transpose:y NULL=BLANK",,C13,C12)</f>
        <v>0</v>
      </c>
      <c r="E187" s="7"/>
      <c r="F187" s="7"/>
      <c r="G187" s="7"/>
      <c r="H187" s="7"/>
      <c r="I187" s="7"/>
    </row>
    <row r="188" spans="2:9" s="10" ht="15">
      <c r="B188" s="7" t="s">
        <v>17</v>
      </c>
      <c r="C188" s="7" t="s">
        <v>20</v>
      </c>
      <c r="D188" s="7">
        <f>TR(C5,"TR.AnalyticGHGEmissionsScope1and2PerEAFHighAlloySteelProduction","#1 curn=#2 Scale=2 ch:fd transpose:y NULL=BLANK",,C13,C12)</f>
        <v>0</v>
      </c>
      <c r="E188" s="7"/>
      <c r="F188" s="7"/>
      <c r="G188" s="7"/>
      <c r="H188" s="7"/>
      <c r="I188" s="7"/>
    </row>
    <row r="189" spans="2:9" s="10" ht="15">
      <c r="B189" s="7" t="s">
        <v>17</v>
      </c>
      <c r="C189" s="7" t="s">
        <v>20</v>
      </c>
      <c r="D189" s="7">
        <f>TR(C5,"TR.AnalyticGHGEmissionsScope1and2PerIronCastingProduction","#1 curn=#2 Scale=2 ch:fd transpose:y NULL=BLANK",,C13,C12)</f>
        <v>0</v>
      </c>
      <c r="E189" s="7"/>
      <c r="F189" s="7"/>
      <c r="G189" s="7"/>
      <c r="H189" s="7"/>
      <c r="I189" s="7"/>
    </row>
    <row r="190" spans="2:9" s="10" ht="15">
      <c r="B190" s="7" t="s">
        <v>17</v>
      </c>
      <c r="C190" s="7" t="s">
        <v>20</v>
      </c>
      <c r="D190" s="7">
        <f>TR(C5,"TR.AnalyticGHGEmissionsScope1and2PerSinteredOreProduction","#1 curn=#2 Scale=2 ch:fd transpose:y NULL=BLANK",,C13,C12)</f>
        <v>0</v>
      </c>
      <c r="E190" s="7"/>
      <c r="F190" s="7"/>
      <c r="G190" s="7"/>
      <c r="H190" s="7"/>
      <c r="I190" s="7"/>
    </row>
    <row r="191" spans="2:9" s="10" ht="15">
      <c r="B191" s="7" t="s">
        <v>17</v>
      </c>
      <c r="C191" s="7" t="s">
        <v>20</v>
      </c>
      <c r="D191" s="7">
        <f>TR(C5,"TR.AnalyticGHGEmissionsScope1and2PerHotMetalProduction","#1 curn=#2 Scale=2 ch:fd transpose:y NULL=BLANK",,C13,C12)</f>
        <v>0</v>
      </c>
      <c r="E191" s="7"/>
      <c r="F191" s="7"/>
      <c r="G191" s="7"/>
      <c r="H191" s="7"/>
      <c r="I191" s="7"/>
    </row>
    <row r="192" spans="2:9" s="10" ht="15">
      <c r="B192" s="7" t="s">
        <v>17</v>
      </c>
      <c r="C192" s="7" t="s">
        <v>20</v>
      </c>
      <c r="D192" s="7">
        <f>TR(C5,"TR.AnalyticGHGEmissionsScope1and2PerSodaAshProduction","#1 curn=#2 Scale=2 ch:fd transpose:y NULL=BLANK",,C13,C12)</f>
        <v>0</v>
      </c>
      <c r="E192" s="7"/>
      <c r="F192" s="7"/>
      <c r="G192" s="7"/>
      <c r="H192" s="7"/>
      <c r="I192" s="7"/>
    </row>
    <row r="193" spans="2:9" s="10" ht="15">
      <c r="B193" s="7" t="s">
        <v>17</v>
      </c>
      <c r="C193" s="7" t="s">
        <v>20</v>
      </c>
      <c r="D193" s="7">
        <f>TR(C5,"TR.AnalyticGHGEmissionsDirectScope1PerAmmoniaProduction","#1 curn=#2 Scale=2 ch:fd transpose:y NULL=BLANK",,C13,C12)</f>
        <v>0</v>
      </c>
      <c r="E193" s="7"/>
      <c r="F193" s="7"/>
      <c r="G193" s="7"/>
      <c r="H193" s="7"/>
      <c r="I193" s="7"/>
    </row>
    <row r="194" spans="2:9" s="10" ht="15">
      <c r="B194" s="7" t="s">
        <v>17</v>
      </c>
      <c r="C194" s="7" t="s">
        <v>20</v>
      </c>
      <c r="D194" s="7">
        <f>TR(C5,"TR.AnalyticGHGEmissionsScope1and2PerAmmoniaProduction","#1 curn=#2 Scale=2 ch:fd transpose:y NULL=BLANK",,C13,C12)</f>
        <v>0</v>
      </c>
      <c r="E194" s="7"/>
      <c r="F194" s="7"/>
      <c r="G194" s="7"/>
      <c r="H194" s="7"/>
      <c r="I194" s="7"/>
    </row>
    <row r="195" spans="2:9" s="10" ht="15">
      <c r="B195" s="7" t="s">
        <v>17</v>
      </c>
      <c r="C195" s="7" t="s">
        <v>20</v>
      </c>
      <c r="D195" s="7">
        <f>TR(C5,"TR.AnalyticGHGEmissionsScope1and2PerHighVolumeChemicalsProduction","#1 curn=#2 Scale=2 ch:fd transpose:y NULL=BLANK",,C13,C12)</f>
        <v>0</v>
      </c>
      <c r="E195" s="7"/>
      <c r="F195" s="7"/>
      <c r="G195" s="7"/>
      <c r="H195" s="7"/>
      <c r="I195" s="7"/>
    </row>
    <row r="196" spans="2:9" s="10" ht="15">
      <c r="B196" s="7" t="s">
        <v>17</v>
      </c>
      <c r="C196" s="7" t="s">
        <v>20</v>
      </c>
      <c r="D196" s="7">
        <f>TR(C5,"TR.AnalyticGHGEmissionsScope1and2PerAromaticsProduction","#1 curn=#2 Scale=2 ch:fd transpose:y NULL=BLANK",,C13,C12)</f>
        <v>0</v>
      </c>
      <c r="E196" s="7"/>
      <c r="F196" s="7"/>
      <c r="G196" s="7"/>
      <c r="H196" s="7"/>
      <c r="I196" s="7"/>
    </row>
    <row r="197" spans="2:9" s="10" ht="15">
      <c r="B197" s="7" t="s">
        <v>17</v>
      </c>
      <c r="C197" s="7" t="s">
        <v>20</v>
      </c>
      <c r="D197" s="7">
        <f>TR(C5,"TR.AnalyticGHGEmissionsScope1and2PerVinylChlorideProduction","#1 curn=#2 Scale=2 ch:fd transpose:y NULL=BLANK",,C13,C12)</f>
        <v>0</v>
      </c>
      <c r="E197" s="7"/>
      <c r="F197" s="7"/>
      <c r="G197" s="7"/>
      <c r="H197" s="7"/>
      <c r="I197" s="7"/>
    </row>
    <row r="198" spans="2:9" s="10" ht="15">
      <c r="B198" s="7" t="s">
        <v>17</v>
      </c>
      <c r="C198" s="7" t="s">
        <v>20</v>
      </c>
      <c r="D198" s="7">
        <f>TR(C5,"TR.AnalyticGHGEmissionsScope1and2PerStyreneProduction","#1 curn=#2 Scale=2 ch:fd transpose:y NULL=BLANK",,C13,C12)</f>
        <v>0</v>
      </c>
      <c r="E198" s="7"/>
      <c r="F198" s="7"/>
      <c r="G198" s="7"/>
      <c r="H198" s="7"/>
      <c r="I198" s="7"/>
    </row>
    <row r="199" spans="2:9" s="10" ht="15">
      <c r="B199" s="7" t="s">
        <v>17</v>
      </c>
      <c r="C199" s="7" t="s">
        <v>20</v>
      </c>
      <c r="D199" s="7">
        <f>TR(C5,"TR.AnalyticGHGEmissionsScope1and2PerEthyleneOxideProduction","#1 curn=#2 Scale=2 ch:fd transpose:y NULL=BLANK",,C13,C12)</f>
        <v>0</v>
      </c>
      <c r="E199" s="7"/>
      <c r="F199" s="7"/>
      <c r="G199" s="7"/>
      <c r="H199" s="7"/>
      <c r="I199" s="7"/>
    </row>
    <row r="200" spans="2:9" s="10" ht="15">
      <c r="B200" s="7" t="s">
        <v>17</v>
      </c>
      <c r="C200" s="7" t="s">
        <v>20</v>
      </c>
      <c r="D200" s="7">
        <f>TR(C5,"TR.AnalyticGHGEmissionsScope1and2PerAdipicAcidProduction","#1 curn=#2 Scale=2 ch:fd transpose:y NULL=BLANK",,C13,C12)</f>
        <v>0</v>
      </c>
      <c r="E200" s="7"/>
      <c r="F200" s="7"/>
      <c r="G200" s="7"/>
      <c r="H200" s="7"/>
      <c r="I200" s="7"/>
    </row>
    <row r="201" spans="2:9" s="10" ht="15">
      <c r="B201" s="7" t="s">
        <v>17</v>
      </c>
      <c r="C201" s="7" t="s">
        <v>20</v>
      </c>
      <c r="D201" s="7">
        <f>TR(C5,"TR.AnalyticGHGEmissionsScope1and2PerHydrogenProduction","#1 curn=#2 Scale=2 ch:fd transpose:y NULL=BLANK",,C13,C12)</f>
        <v>0</v>
      </c>
      <c r="E201" s="7"/>
      <c r="F201" s="7"/>
      <c r="G201" s="7"/>
      <c r="H201" s="7"/>
      <c r="I201" s="7"/>
    </row>
    <row r="202" spans="2:9" s="10" ht="15">
      <c r="B202" s="7" t="s">
        <v>17</v>
      </c>
      <c r="C202" s="7" t="s">
        <v>20</v>
      </c>
      <c r="D202" s="7">
        <f>TR(C5,"TR.AnalyticGHGEmissionsScope1and2PerEthyleneGlycolsProduction","#1 curn=#2 Scale=2 ch:fd transpose:y NULL=BLANK",,C13,C12)</f>
        <v>0</v>
      </c>
      <c r="E202" s="7"/>
      <c r="F202" s="7"/>
      <c r="G202" s="7"/>
      <c r="H202" s="7"/>
      <c r="I202" s="7"/>
    </row>
    <row r="203" spans="2:9" s="10" ht="15">
      <c r="B203" s="7" t="s">
        <v>17</v>
      </c>
      <c r="C203" s="7" t="s">
        <v>20</v>
      </c>
      <c r="D203" s="7">
        <f>TR(C5,"TR.AnalyticGHGEmissionsScope1and2PerNitricAcidProduction","#1 curn=#2 Scale=2 ch:fd transpose:y NULL=BLANK",,C13,C12)</f>
        <v>0</v>
      </c>
      <c r="E203" s="7"/>
      <c r="F203" s="7"/>
      <c r="G203" s="7"/>
      <c r="H203" s="7"/>
      <c r="I203" s="7"/>
    </row>
    <row r="204" spans="2:9" s="10" ht="15">
      <c r="B204" s="7" t="s">
        <v>17</v>
      </c>
      <c r="C204" s="7" t="s">
        <v>20</v>
      </c>
      <c r="D204" s="7">
        <f>TR(C5,"TR.AnalyticGHGEmissionsScope1and2and3","#1 curn=#2 Scale=2 ch:fd transpose:y NULL=BLANK",,C13,C12)</f>
        <v>0</v>
      </c>
      <c r="E204" s="7"/>
      <c r="F204" s="7"/>
      <c r="G204" s="7"/>
      <c r="H204" s="7"/>
      <c r="I204" s="7"/>
    </row>
    <row r="205" spans="2:9" s="10" ht="15">
      <c r="B205" s="7" t="s">
        <v>17</v>
      </c>
      <c r="C205" s="7" t="s">
        <v>20</v>
      </c>
      <c r="D205" s="7">
        <f>TR(C5,"TR.AnalyticGHGEmissionsScope1and2and3YoYChgPercent","#1 curn=#2 Scale=2 ch:fd transpose:y NULL=BLANK",,C13,C12)</f>
        <v>0</v>
      </c>
      <c r="E205" s="7"/>
      <c r="F205" s="7"/>
      <c r="G205" s="7"/>
      <c r="H205" s="7"/>
      <c r="I205" s="7"/>
    </row>
    <row r="206" spans="2:9" s="10" ht="15">
      <c r="B206" s="7" t="s">
        <v>17</v>
      </c>
      <c r="C206" s="7" t="s">
        <v>20</v>
      </c>
      <c r="D206" s="7">
        <f>TR(C5,"TR.AnalyticGHGEmissionsScope1and2and3YoYChgTonnes","#1 curn=#2 Scale=2 ch:fd transpose:y NULL=BLANK",,C13,C12)</f>
        <v>0</v>
      </c>
      <c r="E206" s="7"/>
      <c r="F206" s="7"/>
      <c r="G206" s="7"/>
      <c r="H206" s="7"/>
      <c r="I206" s="7"/>
    </row>
    <row r="207" spans="2:9" s="10" ht="15">
      <c r="B207" s="7" t="s">
        <v>17</v>
      </c>
      <c r="C207" s="7" t="s">
        <v>20</v>
      </c>
      <c r="D207" s="7">
        <f>TR(C5,"TR.AnalyticGHGEmissionsScope1and2YoYChgTonnes","#1 curn=#2 Scale=2 ch:fd transpose:y NULL=BLANK",,C13,C12)</f>
        <v>0</v>
      </c>
      <c r="E207" s="7"/>
      <c r="F207" s="7"/>
      <c r="G207" s="7"/>
      <c r="H207" s="7"/>
      <c r="I207" s="7"/>
    </row>
    <row r="208" spans="2:9" s="10" ht="15">
      <c r="B208" s="7" t="s">
        <v>17</v>
      </c>
      <c r="C208" s="7" t="s">
        <v>20</v>
      </c>
      <c r="D208" s="7">
        <f>TR(C5,"TR.AnalyticReductionTargetGHGEmissionsScope1and2and3Tonnes","#1 curn=#2 Scale=2 ch:fd transpose:y NULL=BLANK",,C13,C12)</f>
        <v>0</v>
      </c>
      <c r="E208" s="7"/>
      <c r="F208" s="7"/>
      <c r="G208" s="7"/>
      <c r="H208" s="7"/>
      <c r="I208" s="7"/>
    </row>
    <row r="209" spans="2:9" s="10" ht="15">
      <c r="B209" s="7" t="s">
        <v>17</v>
      </c>
      <c r="C209" s="7" t="s">
        <v>20</v>
      </c>
      <c r="D209" s="7">
        <f>TR(C5,"TR.AnalyticReductionTargetGHGEmissionsScope1and2Tonnes","#1 curn=#2 Scale=2 ch:fd transpose:y NULL=BLANK",,C13,C12)</f>
        <v>0</v>
      </c>
      <c r="E209" s="7"/>
      <c r="F209" s="7"/>
      <c r="G209" s="7"/>
      <c r="H209" s="7"/>
      <c r="I209" s="7"/>
    </row>
    <row r="210" spans="2:9" s="10" ht="15">
      <c r="B210" s="7" t="s">
        <v>17</v>
      </c>
      <c r="C210" s="7" t="s">
        <v>20</v>
      </c>
      <c r="D210" s="7">
        <f>TR(C5,"TR.AnalyticReductionTargetGHGEmissionsIntensityScope1and2and3","#1 curn=#2 Scale=2 ch:fd transpose:y NULL=BLANK",,C13,C12)</f>
        <v>0</v>
      </c>
      <c r="E210" s="7"/>
      <c r="F210" s="7"/>
      <c r="G210" s="7"/>
      <c r="H210" s="7"/>
      <c r="I210" s="7"/>
    </row>
    <row r="211" spans="2:9" s="10" ht="15">
      <c r="B211" s="7" t="s">
        <v>17</v>
      </c>
      <c r="C211" s="7" t="s">
        <v>20</v>
      </c>
      <c r="D211" s="7">
        <f>TR(C5,"TR.AnalyticReductionTargetGHGEmissionsIntensityScope1and2","#1 curn=#2 Scale=2 ch:fd transpose:y NULL=BLANK",,C13,C12)</f>
        <v>0</v>
      </c>
      <c r="E211" s="7"/>
      <c r="F211" s="7"/>
      <c r="G211" s="7"/>
      <c r="H211" s="7"/>
      <c r="I211" s="7"/>
    </row>
    <row r="212" spans="2:9" s="10" ht="15">
      <c r="B212" s="7" t="s">
        <v>17</v>
      </c>
      <c r="C212" s="7" t="s">
        <v>20</v>
      </c>
      <c r="D212" s="7">
        <f>TR(C5,"TR.AnalyticTargetVarianceGHGEmissionsScope1and2and3YoYChgPercent","#1 curn=#2 Scale=2 ch:fd transpose:y NULL=BLANK",,C13,C12)</f>
        <v>0</v>
      </c>
      <c r="E212" s="7"/>
      <c r="F212" s="7"/>
      <c r="G212" s="7"/>
      <c r="H212" s="7"/>
      <c r="I212" s="7"/>
    </row>
    <row r="213" spans="2:9" s="10" ht="15">
      <c r="B213" s="7" t="s">
        <v>17</v>
      </c>
      <c r="C213" s="7" t="s">
        <v>20</v>
      </c>
      <c r="D213" s="7">
        <f>TR(C5,"TR.AnalyticTargetVarianceGHGEmissionsScope1and2YoYChgPercent","#1 curn=#2 Scale=2 ch:fd transpose:y NULL=BLANK",,C13,C12)</f>
        <v>0</v>
      </c>
      <c r="E213" s="7"/>
      <c r="F213" s="7"/>
      <c r="G213" s="7"/>
      <c r="H213" s="7"/>
      <c r="I213" s="7"/>
    </row>
    <row r="214" spans="2:9" s="10" ht="15">
      <c r="B214" s="7" t="s">
        <v>17</v>
      </c>
      <c r="C214" s="7" t="s">
        <v>20</v>
      </c>
      <c r="D214" s="7">
        <f>TR(C5,"TR.AnalyticTargetVarianceGHGEmissionsScope1and2and3YoYChgTonnes","#1 curn=#2 Scale=2 ch:fd transpose:y NULL=BLANK",,C13,C12)</f>
        <v>0</v>
      </c>
      <c r="E214" s="7"/>
      <c r="F214" s="7"/>
      <c r="G214" s="7"/>
      <c r="H214" s="7"/>
      <c r="I214" s="7"/>
    </row>
    <row r="215" spans="2:9" s="10" ht="15">
      <c r="B215" s="7" t="s">
        <v>17</v>
      </c>
      <c r="C215" s="7" t="s">
        <v>20</v>
      </c>
      <c r="D215" s="7">
        <f>TR(C5,"TR.AnalyticTargetVarianceGHGEmissionsScope1and2YoYChgTonnes","#1 curn=#2 Scale=2 ch:fd transpose:y NULL=BLANK",,C13,C12)</f>
        <v>0</v>
      </c>
      <c r="E215" s="7"/>
      <c r="F215" s="7"/>
      <c r="G215" s="7"/>
      <c r="H215" s="7"/>
      <c r="I215" s="7"/>
    </row>
    <row r="216" spans="2:9" s="10" ht="15">
      <c r="B216" s="7" t="s">
        <v>17</v>
      </c>
      <c r="C216" s="7" t="s">
        <v>20</v>
      </c>
      <c r="D216" s="7">
        <f>TR(C5,"TR.AnalyticTargetVarianceGHGEmissionsIntensityScope1and2and3YoYChgPct","#1 curn=#2 Scale=2 ch:fd transpose:y NULL=BLANK",,C13,C12)</f>
        <v>0</v>
      </c>
      <c r="E216" s="7"/>
      <c r="F216" s="7"/>
      <c r="G216" s="7"/>
      <c r="H216" s="7"/>
      <c r="I216" s="7"/>
    </row>
    <row r="217" spans="2:9" s="10" ht="15">
      <c r="B217" s="7" t="s">
        <v>17</v>
      </c>
      <c r="C217" s="7" t="s">
        <v>20</v>
      </c>
      <c r="D217" s="7">
        <f>TR(C5,"TR.AnalyticTargetVarianceGHGEmissionsIntensityScope1and2YoYChgPct","#1 curn=#2 Scale=2 ch:fd transpose:y NULL=BLANK",,C13,C12)</f>
        <v>0</v>
      </c>
      <c r="E217" s="7"/>
      <c r="F217" s="7"/>
      <c r="G217" s="7"/>
      <c r="H217" s="7"/>
      <c r="I217" s="7"/>
    </row>
    <row r="218" spans="2:9" s="10" ht="15">
      <c r="B218" s="7" t="s">
        <v>17</v>
      </c>
      <c r="C218" s="7" t="s">
        <v>20</v>
      </c>
      <c r="D218" s="7">
        <f>TR(C5,"TR.AnalyticGHGEmissionsIntensityScope1and2YoYChg","#1 curn=#2 Scale=2 ch:fd transpose:y NULL=BLANK",,C13,C12)</f>
        <v>0</v>
      </c>
      <c r="E218" s="7"/>
      <c r="F218" s="7"/>
      <c r="G218" s="7"/>
      <c r="H218" s="7"/>
      <c r="I218" s="7"/>
    </row>
    <row r="219" spans="2:9" s="10" ht="15">
      <c r="B219" s="7" t="s">
        <v>17</v>
      </c>
      <c r="C219" s="7" t="s">
        <v>20</v>
      </c>
      <c r="D219" s="7">
        <f>TR(C5,"TR.AnalyticGHGEmissionsIntensityScope1and2and3YoYChg","#1 curn=#2 Scale=2 ch:fd transpose:y NULL=BLANK",,C13,C12)</f>
        <v>0</v>
      </c>
      <c r="E219" s="7"/>
      <c r="F219" s="7"/>
      <c r="G219" s="7"/>
      <c r="H219" s="7"/>
      <c r="I219" s="7"/>
    </row>
    <row r="220" spans="2:9" s="10" ht="15">
      <c r="B220" s="7" t="s">
        <v>17</v>
      </c>
      <c r="C220" s="7" t="s">
        <v>20</v>
      </c>
      <c r="D220" s="7">
        <f>TR(C5,"TR.AnalyticGHGEmissionsScope1and2and3ParisAligned","#1 curn=#2 Scale=2 ch:fd transpose:y NULL=BLANK",,C13,C12)</f>
        <v>0</v>
      </c>
      <c r="E220" s="7"/>
      <c r="F220" s="7"/>
      <c r="G220" s="7"/>
      <c r="H220" s="7"/>
      <c r="I220" s="7"/>
    </row>
    <row r="221" spans="2:9" s="10" ht="15">
      <c r="B221" s="7" t="s">
        <v>17</v>
      </c>
      <c r="C221" s="7" t="s">
        <v>20</v>
      </c>
      <c r="D221" s="7">
        <f>TR(C5,"TR.AnalyticGHGEmissionsScope1and2ParisAligned","#1 curn=#2 Scale=2 ch:fd transpose:y NULL=BLANK",,C13,C12)</f>
        <v>0</v>
      </c>
      <c r="E221" s="7"/>
      <c r="F221" s="7"/>
      <c r="G221" s="7"/>
      <c r="H221" s="7"/>
      <c r="I221" s="7"/>
    </row>
    <row r="222" spans="2:9" s="10" ht="15">
      <c r="B222" s="7" t="s">
        <v>17</v>
      </c>
      <c r="C222" s="7" t="s">
        <v>20</v>
      </c>
      <c r="D222" s="7">
        <f>TR(C5,"TR.AnalyticGHGEmissionsIntensityScope1and2and3ParisAligned","#1 curn=#2 Scale=2 ch:fd transpose:y NULL=BLANK",,C13,C12)</f>
        <v>0</v>
      </c>
      <c r="E222" s="7"/>
      <c r="F222" s="7"/>
      <c r="G222" s="7"/>
      <c r="H222" s="7"/>
      <c r="I222" s="7"/>
    </row>
    <row r="223" spans="2:9" s="10" ht="15">
      <c r="B223" s="7" t="s">
        <v>17</v>
      </c>
      <c r="C223" s="7" t="s">
        <v>20</v>
      </c>
      <c r="D223" s="7">
        <f>TR(C5,"TR.AnalyticGHGEmissionsIntensityScope1and2ParisAligned","#1 curn=#2 Scale=2 ch:fd transpose:y NULL=BLANK",,C13,C12)</f>
        <v>0</v>
      </c>
      <c r="E223" s="7"/>
      <c r="F223" s="7"/>
      <c r="G223" s="7"/>
      <c r="H223" s="7"/>
      <c r="I223" s="7"/>
    </row>
    <row r="224" spans="2:9" s="10" ht="15">
      <c r="B224" s="7" t="s">
        <v>17</v>
      </c>
      <c r="C224" s="7" t="s">
        <v>20</v>
      </c>
      <c r="D224" s="7">
        <f>TR(C5,"TR.AnalyticGHGEmissionsScope1and2and3CAGR3Year","#1 curn=#2 Scale=2 ch:fd transpose:y NULL=BLANK",,C13,C12)</f>
        <v>0</v>
      </c>
      <c r="E224" s="7"/>
      <c r="F224" s="7"/>
      <c r="G224" s="7"/>
      <c r="H224" s="7"/>
      <c r="I224" s="7"/>
    </row>
    <row r="225" spans="2:9" s="10" ht="15">
      <c r="B225" s="7" t="s">
        <v>17</v>
      </c>
      <c r="C225" s="7" t="s">
        <v>20</v>
      </c>
      <c r="D225" s="7">
        <f>TR(C5,"TR.AnalyticGHGEmissionsScope1and2and3CAGR5Year","#1 curn=#2 Scale=2 ch:fd transpose:y NULL=BLANK",,C13,C12)</f>
        <v>0</v>
      </c>
      <c r="E225" s="7"/>
      <c r="F225" s="7"/>
      <c r="G225" s="7"/>
      <c r="H225" s="7"/>
      <c r="I225" s="7"/>
    </row>
    <row r="226" spans="2:9" s="10" ht="15">
      <c r="B226" s="7" t="s">
        <v>17</v>
      </c>
      <c r="C226" s="7" t="s">
        <v>20</v>
      </c>
      <c r="D226" s="7">
        <f>TR(C5,"TR.AnalyticGHGEmissionsIntensityScope1and2and3CAGR3Year","#1 curn=#2 Scale=2 ch:fd transpose:y NULL=BLANK",,C13,C12)</f>
        <v>0</v>
      </c>
      <c r="E226" s="7"/>
      <c r="F226" s="7"/>
      <c r="G226" s="7"/>
      <c r="H226" s="7"/>
      <c r="I226" s="7"/>
    </row>
    <row r="227" spans="2:9" s="10" ht="15">
      <c r="B227" s="7" t="s">
        <v>17</v>
      </c>
      <c r="C227" s="7" t="s">
        <v>20</v>
      </c>
      <c r="D227" s="7">
        <f>TR(C5,"TR.AnalyticGHGEmissionsIntensityScope1and2and3CAGR5Year","#1 curn=#2 Scale=2 ch:fd transpose:y NULL=BLANK",,C13,C12)</f>
        <v>0</v>
      </c>
      <c r="E227" s="7"/>
      <c r="F227" s="7"/>
      <c r="G227" s="7"/>
      <c r="H227" s="7"/>
      <c r="I227" s="7"/>
    </row>
    <row r="228" spans="2:9" s="10" ht="15">
      <c r="B228" s="7" t="s">
        <v>17</v>
      </c>
      <c r="C228" s="7" t="s">
        <v>20</v>
      </c>
      <c r="D228" s="7">
        <f>TR(C5,"TR.AnalyticGHGEmissionsIntensityIndirectScope3YoYPercentChg","#1 curn=#2 Scale=2 ch:fd transpose:y NULL=BLANK",,C13,C12)</f>
        <v>0</v>
      </c>
      <c r="E228" s="7"/>
      <c r="F228" s="7"/>
      <c r="G228" s="7"/>
      <c r="H228" s="7"/>
      <c r="I228" s="7"/>
    </row>
    <row r="229" spans="2:9" s="10" ht="15">
      <c r="B229" s="7" t="s">
        <v>17</v>
      </c>
      <c r="C229" s="7" t="s">
        <v>20</v>
      </c>
      <c r="D229" s="7">
        <f>TR(C5,"TR.AnalyticGHGEmissionsDirectScope1","#1 curn=#2 Scale=2 ch:fd transpose:y NULL=BLANK",,C13,C12)</f>
        <v>0</v>
      </c>
      <c r="E229" s="7"/>
      <c r="F229" s="7"/>
      <c r="G229" s="7"/>
      <c r="H229" s="7"/>
      <c r="I229" s="7"/>
    </row>
    <row r="230" spans="2:9" s="10" ht="15">
      <c r="B230" s="7" t="s">
        <v>17</v>
      </c>
      <c r="C230" s="7" t="s">
        <v>20</v>
      </c>
      <c r="D230" s="7">
        <f>TR(C5,"TR.AnalyticGHGEmissionsDirectScope1CAGR3Year","#1 curn=#2 Scale=2 ch:fd transpose:y NULL=BLANK",,C13,C12)</f>
        <v>0</v>
      </c>
      <c r="E230" s="7"/>
      <c r="F230" s="7"/>
      <c r="G230" s="7"/>
      <c r="H230" s="7"/>
      <c r="I230" s="7"/>
    </row>
    <row r="231" spans="2:9" s="10" ht="15">
      <c r="B231" s="7" t="s">
        <v>17</v>
      </c>
      <c r="C231" s="7" t="s">
        <v>20</v>
      </c>
      <c r="D231" s="7">
        <f>TR(C5,"TR.AnalyticGHGEmissionsScope1CAGR5Year","#1 curn=#2 Scale=2 ch:fd transpose:y NULL=BLANK",,C13,C12)</f>
        <v>0</v>
      </c>
      <c r="E231" s="7"/>
      <c r="F231" s="7"/>
      <c r="G231" s="7"/>
      <c r="H231" s="7"/>
      <c r="I231" s="7"/>
    </row>
    <row r="232" spans="2:9" s="10" ht="15">
      <c r="B232" s="7" t="s">
        <v>17</v>
      </c>
      <c r="C232" s="7" t="s">
        <v>20</v>
      </c>
      <c r="D232" s="7">
        <f>TR(C5,"TR.AnalyticGHGEmissionsIntensityScope1CAGR3Year","#1 curn=#2 Scale=2 ch:fd transpose:y NULL=BLANK",,C13,C12)</f>
        <v>0</v>
      </c>
      <c r="E232" s="7"/>
      <c r="F232" s="7"/>
      <c r="G232" s="7"/>
      <c r="H232" s="7"/>
      <c r="I232" s="7"/>
    </row>
    <row r="233" spans="2:9" s="10" ht="15">
      <c r="B233" s="7" t="s">
        <v>17</v>
      </c>
      <c r="C233" s="7" t="s">
        <v>20</v>
      </c>
      <c r="D233" s="7">
        <f>TR(C5,"TR.AnalyticGHGEmissionsIntensityScope1CAGR5Year","#1 curn=#2 Scale=2 ch:fd transpose:y NULL=BLANK",,C13,C12)</f>
        <v>0</v>
      </c>
      <c r="E233" s="7"/>
      <c r="F233" s="7"/>
      <c r="G233" s="7"/>
      <c r="H233" s="7"/>
      <c r="I233" s="7"/>
    </row>
    <row r="234" spans="2:9" s="10" ht="15">
      <c r="B234" s="7" t="s">
        <v>17</v>
      </c>
      <c r="C234" s="7" t="s">
        <v>20</v>
      </c>
      <c r="D234" s="7">
        <f>TR(C5,"TR.AnalyticGHGEmissionsIndirectScope2","#1 curn=#2 Scale=2 ch:fd transpose:y NULL=BLANK",,C13,C12)</f>
        <v>0</v>
      </c>
      <c r="E234" s="7"/>
      <c r="F234" s="7"/>
      <c r="G234" s="7"/>
      <c r="H234" s="7"/>
      <c r="I234" s="7"/>
    </row>
    <row r="235" spans="2:9" s="10" ht="15">
      <c r="B235" s="7" t="s">
        <v>17</v>
      </c>
      <c r="C235" s="7" t="s">
        <v>20</v>
      </c>
      <c r="D235" s="7">
        <f>TR(C5,"TR.AnalyticGHGEmissionsIndirectScope2CAGR3Year","#1 curn=#2 Scale=2 ch:fd transpose:y NULL=BLANK",,C13,C12)</f>
        <v>0</v>
      </c>
      <c r="E235" s="7"/>
      <c r="F235" s="7"/>
      <c r="G235" s="7"/>
      <c r="H235" s="7"/>
      <c r="I235" s="7"/>
    </row>
    <row r="236" spans="2:9" s="10" ht="15">
      <c r="B236" s="7" t="s">
        <v>17</v>
      </c>
      <c r="C236" s="7" t="s">
        <v>20</v>
      </c>
      <c r="D236" s="7">
        <f>TR(C5,"TR.AnalyticGHGEmissionsIndirectScope2CAGR5Year","#1 curn=#2 Scale=2 ch:fd transpose:y NULL=BLANK",,C13,C12)</f>
        <v>0</v>
      </c>
      <c r="E236" s="7"/>
      <c r="F236" s="7"/>
      <c r="G236" s="7"/>
      <c r="H236" s="7"/>
      <c r="I236" s="7"/>
    </row>
    <row r="237" spans="2:9" s="10" ht="15">
      <c r="B237" s="7" t="s">
        <v>17</v>
      </c>
      <c r="C237" s="7" t="s">
        <v>20</v>
      </c>
      <c r="D237" s="7">
        <f>TR(C5,"TR.AnalyticGHGEmissionsIntensityScope2CAGR3Year","#1 curn=#2 Scale=2 ch:fd transpose:y NULL=BLANK",,C13,C12)</f>
        <v>0</v>
      </c>
      <c r="E237" s="7"/>
      <c r="F237" s="7"/>
      <c r="G237" s="7"/>
      <c r="H237" s="7"/>
      <c r="I237" s="7"/>
    </row>
    <row r="238" spans="2:9" s="10" ht="15">
      <c r="B238" s="7" t="s">
        <v>17</v>
      </c>
      <c r="C238" s="7" t="s">
        <v>20</v>
      </c>
      <c r="D238" s="7">
        <f>TR(C5,"TR.AnalyticGHGEmissionsIntensityScope2CAGR5Year","#1 curn=#2 Scale=2 ch:fd transpose:y NULL=BLANK",,C13,C12)</f>
        <v>0</v>
      </c>
      <c r="E238" s="7"/>
      <c r="F238" s="7"/>
      <c r="G238" s="7"/>
      <c r="H238" s="7"/>
      <c r="I238" s="7"/>
    </row>
    <row r="239" spans="2:9" s="10" ht="15">
      <c r="B239" s="7" t="s">
        <v>17</v>
      </c>
      <c r="C239" s="7" t="s">
        <v>20</v>
      </c>
      <c r="D239" s="7">
        <f>TR(C5,"TR.AnalyticTotalCO2EmissionsToMLNRevenuesUSDYoY","#1 curn=#2 Scale=2 ch:fd transpose:y NULL=BLANK",,C13,C12)</f>
        <v>0</v>
      </c>
      <c r="E239" s="7"/>
      <c r="F239" s="7"/>
      <c r="G239" s="7"/>
      <c r="H239" s="7"/>
      <c r="I239" s="7"/>
    </row>
    <row r="240" spans="2:9" s="10" ht="15">
      <c r="B240" s="7" t="s">
        <v>17</v>
      </c>
      <c r="C240" s="7" t="s">
        <v>20</v>
      </c>
      <c r="D240" s="7">
        <f>TR(C5,"TR.AnalyticCO2EquivalentEmissionsTotalYoY","#1 curn=#2 Scale=2 ch:fd transpose:y NULL=BLANK",,C13,C12)</f>
        <v>0</v>
      </c>
      <c r="E240" s="7"/>
      <c r="F240" s="7"/>
      <c r="G240" s="7"/>
      <c r="H240" s="7"/>
      <c r="I240" s="7"/>
    </row>
    <row r="241" spans="2:9" s="10" ht="15">
      <c r="B241" s="7" t="s">
        <v>17</v>
      </c>
      <c r="C241" s="7" t="s">
        <v>20</v>
      </c>
      <c r="D241" s="7">
        <f>TR(C5,"TR.AnalyticCO2DirectScope1YoY","#1 curn=#2 Scale=2 ch:fd transpose:y NULL=BLANK",,C13,C12)</f>
        <v>0</v>
      </c>
      <c r="E241" s="7"/>
      <c r="F241" s="7"/>
      <c r="G241" s="7"/>
      <c r="H241" s="7"/>
      <c r="I241" s="7"/>
    </row>
    <row r="242" spans="2:9" s="10" ht="15">
      <c r="B242" s="7" t="s">
        <v>17</v>
      </c>
      <c r="C242" s="7" t="s">
        <v>20</v>
      </c>
      <c r="D242" s="7">
        <f>TR(C5,"TR.AnalyticCO2IndirectScope2YoY","#1 curn=#2 Scale=2 ch:fd transpose:y NULL=BLANK",,C13,C12)</f>
        <v>0</v>
      </c>
      <c r="E242" s="7"/>
      <c r="F242" s="7"/>
      <c r="G242" s="7"/>
      <c r="H242" s="7"/>
      <c r="I242" s="7"/>
    </row>
    <row r="243" spans="2:9" s="10" ht="15">
      <c r="B243" s="7" t="s">
        <v>17</v>
      </c>
      <c r="C243" s="7" t="s">
        <v>20</v>
      </c>
      <c r="D243" s="7">
        <f>TR(C5,"TR.AnalyticCementCO2EquivalentsEmissionYoY","#1 curn=#2 Scale=2 ch:fd transpose:y NULL=BLANK",,C13,C12)</f>
        <v>0</v>
      </c>
      <c r="E243" s="7"/>
      <c r="F243" s="7"/>
      <c r="G243" s="7"/>
      <c r="H243" s="7"/>
      <c r="I243" s="7"/>
    </row>
    <row r="244" spans="2:9" s="10" ht="15">
      <c r="B244" s="7" t="s">
        <v>17</v>
      </c>
      <c r="C244" s="7" t="s">
        <v>20</v>
      </c>
      <c r="D244" s="7">
        <f>TR(C5,"TR.AnalyticCO2IndirectScope3YoY","#1 curn=#2 Scale=2 ch:fd transpose:y NULL=BLANK",,C13,C12)</f>
        <v>0</v>
      </c>
      <c r="E244" s="7"/>
      <c r="F244" s="7"/>
      <c r="G244" s="7"/>
      <c r="H244" s="7"/>
      <c r="I244" s="7"/>
    </row>
    <row r="245" spans="2:9" s="10" ht="15">
      <c r="B245" s="7" t="s">
        <v>17</v>
      </c>
      <c r="C245" s="7" t="s">
        <v>20</v>
      </c>
      <c r="D245" s="7">
        <f>TR(C5,"TR.AnalyticFleetCO2EmissionsYoY","#1 curn=#2 Scale=2 ch:fd transpose:y NULL=BLANK",,C13,C12)</f>
        <v>0</v>
      </c>
      <c r="E245" s="7"/>
      <c r="F245" s="7"/>
      <c r="G245" s="7"/>
      <c r="H245" s="7"/>
      <c r="I245" s="7"/>
    </row>
    <row r="246" spans="2:9" s="10" ht="15">
      <c r="B246" s="7" t="s">
        <v>17</v>
      </c>
      <c r="C246" s="7" t="s">
        <v>20</v>
      </c>
      <c r="D246" s="7">
        <f>TR(C5,"TR.AnalyticTotalCO2EmissionsToMLNRevenuesUSDCAGR3year","#1 curn=#2 Scale=2 ch:fd transpose:y NULL=BLANK",,C13,C12)</f>
        <v>0</v>
      </c>
      <c r="E246" s="7"/>
      <c r="F246" s="7"/>
      <c r="G246" s="7"/>
      <c r="H246" s="7"/>
      <c r="I246" s="7"/>
    </row>
    <row r="247" spans="2:9" s="10" ht="15">
      <c r="B247" s="7" t="s">
        <v>17</v>
      </c>
      <c r="C247" s="7" t="s">
        <v>20</v>
      </c>
      <c r="D247" s="7">
        <f>TR(C5,"TR.AnalyticCO2EquivalentEmissionsTotal3yearCAGR","#1 curn=#2 Scale=2 ch:fd transpose:y NULL=BLANK",,C13,C12)</f>
        <v>0</v>
      </c>
      <c r="E247" s="7"/>
      <c r="F247" s="7"/>
      <c r="G247" s="7"/>
      <c r="H247" s="7"/>
      <c r="I247" s="7"/>
    </row>
    <row r="248" spans="2:9" s="10" ht="15">
      <c r="B248" s="7" t="s">
        <v>17</v>
      </c>
      <c r="C248" s="7" t="s">
        <v>20</v>
      </c>
      <c r="D248" s="7">
        <f>TR(C5,"TR.AnalyticCO2DirectScope1CAGR3year","#1 curn=#2 Scale=2 ch:fd transpose:y NULL=BLANK",,C13,C12)</f>
        <v>0</v>
      </c>
      <c r="E248" s="7"/>
      <c r="F248" s="7"/>
      <c r="G248" s="7"/>
      <c r="H248" s="7"/>
      <c r="I248" s="7"/>
    </row>
    <row r="249" spans="2:9" s="10" ht="15">
      <c r="B249" s="7" t="s">
        <v>17</v>
      </c>
      <c r="C249" s="7" t="s">
        <v>20</v>
      </c>
      <c r="D249" s="7">
        <f>TR(C5,"TR.AnalyticCO2IndirectScope2CAGR3year","#1 curn=#2 Scale=2 ch:fd transpose:y NULL=BLANK",,C13,C12)</f>
        <v>0</v>
      </c>
      <c r="E249" s="7"/>
      <c r="F249" s="7"/>
      <c r="G249" s="7"/>
      <c r="H249" s="7"/>
      <c r="I249" s="7"/>
    </row>
    <row r="250" spans="2:9" s="10" ht="15">
      <c r="B250" s="7" t="s">
        <v>17</v>
      </c>
      <c r="C250" s="7" t="s">
        <v>20</v>
      </c>
      <c r="D250" s="7">
        <f>TR(C5,"TR.AnalyticCementCO2EquivalentsEmission3yearCAGR","#1 curn=#2 Scale=2 ch:fd transpose:y NULL=BLANK",,C13,C12)</f>
        <v>0</v>
      </c>
      <c r="E250" s="7"/>
      <c r="F250" s="7"/>
      <c r="G250" s="7"/>
      <c r="H250" s="7"/>
      <c r="I250" s="7"/>
    </row>
    <row r="251" spans="2:9" s="10" ht="15">
      <c r="B251" s="7" t="s">
        <v>17</v>
      </c>
      <c r="C251" s="7" t="s">
        <v>20</v>
      </c>
      <c r="D251" s="7">
        <f>TR(C5,"TR.AnalyticCO2IndirectScope3CAGR3year","#1 curn=#2 Scale=2 ch:fd transpose:y NULL=BLANK",,C13,C12)</f>
        <v>0</v>
      </c>
      <c r="E251" s="7"/>
      <c r="F251" s="7"/>
      <c r="G251" s="7"/>
      <c r="H251" s="7"/>
      <c r="I251" s="7"/>
    </row>
    <row r="252" spans="2:9" s="10" ht="15">
      <c r="B252" s="7" t="s">
        <v>17</v>
      </c>
      <c r="C252" s="7" t="s">
        <v>20</v>
      </c>
      <c r="D252" s="7">
        <f>TR(C5,"TR.AnalyticFleetCO2Emissions3yearCAGR","#1 curn=#2 Scale=2 ch:fd transpose:y NULL=BLANK",,C13,C12)</f>
        <v>0</v>
      </c>
      <c r="E252" s="7"/>
      <c r="F252" s="7"/>
      <c r="G252" s="7"/>
      <c r="H252" s="7"/>
      <c r="I252" s="7"/>
    </row>
    <row r="253" spans="2:9" s="10" ht="15">
      <c r="B253" s="7" t="s">
        <v>17</v>
      </c>
      <c r="C253" s="7" t="s">
        <v>20</v>
      </c>
      <c r="D253" s="7">
        <f>TR(C5,"TR.AnalyticTotalCO2EmissionsToMLNRevenuesUSDCAGR5year","#1 curn=#2 Scale=2 ch:fd transpose:y NULL=BLANK",,C13,C12)</f>
        <v>0</v>
      </c>
      <c r="E253" s="7"/>
      <c r="F253" s="7"/>
      <c r="G253" s="7"/>
      <c r="H253" s="7"/>
      <c r="I253" s="7"/>
    </row>
    <row r="254" spans="2:9" s="10" ht="15">
      <c r="B254" s="7" t="s">
        <v>17</v>
      </c>
      <c r="C254" s="7" t="s">
        <v>20</v>
      </c>
      <c r="D254" s="7">
        <f>TR(C5,"TR.AnalyticCO2EquivalentEmissionsTotal5yearCAGR","#1 curn=#2 Scale=2 ch:fd transpose:y NULL=BLANK",,C13,C12)</f>
        <v>0</v>
      </c>
      <c r="E254" s="7"/>
      <c r="F254" s="7"/>
      <c r="G254" s="7"/>
      <c r="H254" s="7"/>
      <c r="I254" s="7"/>
    </row>
    <row r="255" spans="2:9" s="10" ht="15">
      <c r="B255" s="7" t="s">
        <v>17</v>
      </c>
      <c r="C255" s="7" t="s">
        <v>20</v>
      </c>
      <c r="D255" s="7">
        <f>TR(C5,"TR.AnalyticCO2DirectScope1CAGR5year","#1 curn=#2 Scale=2 ch:fd transpose:y NULL=BLANK",,C13,C12)</f>
        <v>0</v>
      </c>
      <c r="E255" s="7"/>
      <c r="F255" s="7"/>
      <c r="G255" s="7"/>
      <c r="H255" s="7"/>
      <c r="I255" s="7"/>
    </row>
    <row r="256" spans="2:9" s="10" ht="15">
      <c r="B256" s="7" t="s">
        <v>17</v>
      </c>
      <c r="C256" s="7" t="s">
        <v>20</v>
      </c>
      <c r="D256" s="7">
        <f>TR(C5,"TR.AnalyticCO2IndirectScope2CAGR5year","#1 curn=#2 Scale=2 ch:fd transpose:y NULL=BLANK",,C13,C12)</f>
        <v>0</v>
      </c>
      <c r="E256" s="7"/>
      <c r="F256" s="7"/>
      <c r="G256" s="7"/>
      <c r="H256" s="7"/>
      <c r="I256" s="7"/>
    </row>
    <row r="257" spans="2:9" s="10" ht="15">
      <c r="B257" s="7" t="s">
        <v>17</v>
      </c>
      <c r="C257" s="7" t="s">
        <v>20</v>
      </c>
      <c r="D257" s="7">
        <f>TR(C5,"TR.AnalyticCementCO2EquivalentsEmission5yearCAGR","#1 curn=#2 Scale=2 ch:fd transpose:y NULL=BLANK",,C13,C12)</f>
        <v>0</v>
      </c>
      <c r="E257" s="7"/>
      <c r="F257" s="7"/>
      <c r="G257" s="7"/>
      <c r="H257" s="7"/>
      <c r="I257" s="7"/>
    </row>
    <row r="258" spans="2:9" s="10" ht="15">
      <c r="B258" s="7" t="s">
        <v>17</v>
      </c>
      <c r="C258" s="7" t="s">
        <v>20</v>
      </c>
      <c r="D258" s="7">
        <f>TR(C5,"TR.AnalyticCO2IndirectScope3CAGR5year","#1 curn=#2 Scale=2 ch:fd transpose:y NULL=BLANK",,C13,C12)</f>
        <v>0</v>
      </c>
      <c r="E258" s="7"/>
      <c r="F258" s="7"/>
      <c r="G258" s="7"/>
      <c r="H258" s="7"/>
      <c r="I258" s="7"/>
    </row>
    <row r="259" spans="2:9" s="10" ht="15">
      <c r="B259" s="7" t="s">
        <v>17</v>
      </c>
      <c r="C259" s="7" t="s">
        <v>20</v>
      </c>
      <c r="D259" s="7">
        <f>TR(C5,"TR.AnalyticFleetCO2Emissions5yearCAGR","#1 curn=#2 Scale=2 ch:fd transpose:y NULL=BLANK",,C13,C12)</f>
        <v>0</v>
      </c>
      <c r="E259" s="7"/>
      <c r="F259" s="7"/>
      <c r="G259" s="7"/>
      <c r="H259" s="7"/>
      <c r="I259" s="7"/>
    </row>
    <row r="260" spans="2:9" s="10" ht="15">
      <c r="B260" s="7" t="s">
        <v>17</v>
      </c>
      <c r="C260" s="7" t="s">
        <v>20</v>
      </c>
      <c r="D260" s="7">
        <f>TR(C5,"TR.BiodiversityDueDiligence","#1 curn=#2 Scale=2 ch:fd transpose:y NULL=BLANK",,C13,C12)</f>
        <v>0</v>
      </c>
      <c r="E260" s="7"/>
      <c r="F260" s="7"/>
      <c r="G260" s="7"/>
      <c r="H260" s="7"/>
      <c r="I260" s="7"/>
    </row>
    <row r="261" spans="2:9" s="10" ht="15">
      <c r="B261" s="7" t="s">
        <v>17</v>
      </c>
      <c r="C261" s="7" t="s">
        <v>20</v>
      </c>
      <c r="D261" s="7">
        <f>TR(C5,"TR.BiodiversityNetPositiveImpact","#1 curn=#2 Scale=2 ch:fd transpose:y NULL=BLANK",,C13,C12)</f>
        <v>0</v>
      </c>
      <c r="E261" s="7"/>
      <c r="F261" s="7"/>
      <c r="G261" s="7"/>
      <c r="H261" s="7"/>
      <c r="I261" s="7"/>
    </row>
    <row r="262" spans="2:9" s="10" ht="15">
      <c r="B262" s="7" t="s">
        <v>17</v>
      </c>
      <c r="C262" s="7" t="s">
        <v>20</v>
      </c>
      <c r="D262" s="7">
        <f>TR(C5,"TR.BiodiversityRiskAssessment","#1 curn=#2 Scale=2 ch:fd transpose:y NULL=BLANK",,C13,C12)</f>
        <v>0</v>
      </c>
      <c r="E262" s="7"/>
      <c r="F262" s="7"/>
      <c r="G262" s="7"/>
      <c r="H262" s="7"/>
      <c r="I262" s="7"/>
    </row>
    <row r="263" spans="2:9" s="10" ht="15">
      <c r="B263" s="7" t="s">
        <v>17</v>
      </c>
      <c r="C263" s="7" t="s">
        <v>20</v>
      </c>
      <c r="D263" s="7">
        <f>TR(C5,"TR.BiodiversityTargets","#1 curn=#2 Scale=2 ch:fd transpose:y NULL=BLANK",,C13,C12)</f>
        <v>0</v>
      </c>
      <c r="E263" s="7"/>
      <c r="F263" s="7"/>
      <c r="G263" s="7"/>
      <c r="H263" s="7"/>
      <c r="I263" s="7"/>
    </row>
    <row r="264" spans="2:9" s="10" ht="15">
      <c r="B264" s="7" t="s">
        <v>17</v>
      </c>
      <c r="C264" s="7" t="s">
        <v>20</v>
      </c>
      <c r="D264" s="7">
        <f>TR(C5,"TR.BiodiversityCommitment","#1 curn=#2 Scale=2 ch:fd transpose:y NULL=BLANK",,C13,C12)</f>
        <v>0</v>
      </c>
      <c r="E264" s="7"/>
      <c r="F264" s="7"/>
      <c r="G264" s="7"/>
      <c r="H264" s="7"/>
      <c r="I264" s="7"/>
    </row>
    <row r="265" spans="2:9" s="10" ht="15">
      <c r="B265" s="7" t="s">
        <v>17</v>
      </c>
      <c r="C265" s="7" t="s">
        <v>20</v>
      </c>
      <c r="D265" s="7">
        <f>TR(C5,"TR.TargetsPollution","#1 curn=#2 Scale=2 ch:fd transpose:y NULL=BLANK",,C13,C12)</f>
        <v>0</v>
      </c>
      <c r="E265" s="7"/>
      <c r="F265" s="7"/>
      <c r="G265" s="7"/>
      <c r="H265" s="7"/>
      <c r="I265" s="7"/>
    </row>
    <row r="266" spans="2:9" s="10" ht="15">
      <c r="B266" s="7" t="s">
        <v>17</v>
      </c>
      <c r="C266" s="7" t="s">
        <v>20</v>
      </c>
      <c r="D266" s="7">
        <f>TR(C5,"TR.TargetsWaste","#1 curn=#2 Scale=2 ch:fd transpose:y NULL=BLANK",,C13,C12)</f>
        <v>0</v>
      </c>
      <c r="E266" s="7"/>
      <c r="F266" s="7"/>
      <c r="G266" s="7"/>
      <c r="H266" s="7"/>
      <c r="I266" s="7"/>
    </row>
    <row r="267" spans="2:9" s="10" ht="15">
      <c r="B267" s="7" t="s">
        <v>17</v>
      </c>
      <c r="C267" s="7" t="s">
        <v>20</v>
      </c>
      <c r="D267" s="7">
        <f>TR(C5,"TR.CostofPollutionandWaste","#1 curn=#2 Scale=2 ch:fd transpose:y NULL=BLANK",,C13,C12)</f>
        <v>0</v>
      </c>
      <c r="E267" s="7"/>
      <c r="F267" s="7"/>
      <c r="G267" s="7"/>
      <c r="H267" s="7"/>
      <c r="I267" s="7"/>
    </row>
    <row r="268" spans="2:9" s="10" ht="15">
      <c r="B268" s="7" t="s">
        <v>17</v>
      </c>
      <c r="C268" s="7" t="s">
        <v>20</v>
      </c>
      <c r="D268" s="7">
        <f>TR(C5,"TR.PolicyPollution","#1 curn=#2 Scale=2 ch:fd transpose:y NULL=BLANK",,C13,C12)</f>
        <v>0</v>
      </c>
      <c r="E268" s="7"/>
      <c r="F268" s="7"/>
      <c r="G268" s="7"/>
      <c r="H268" s="7"/>
      <c r="I268" s="7"/>
    </row>
    <row r="269" spans="2:9" s="10" ht="15">
      <c r="B269" s="7" t="s">
        <v>17</v>
      </c>
      <c r="C269" s="7" t="s">
        <v>20</v>
      </c>
      <c r="D269" s="7">
        <f>TR(C5,"TR.PolicyWaste","#1 curn=#2 Scale=2 ch:fd transpose:y NULL=BLANK",,C13,C12)</f>
        <v>0</v>
      </c>
      <c r="E269" s="7"/>
      <c r="F269" s="7"/>
      <c r="G269" s="7"/>
      <c r="H269" s="7"/>
      <c r="I269" s="7"/>
    </row>
    <row r="270" spans="2:9" s="10" ht="15">
      <c r="B270" s="7" t="s">
        <v>17</v>
      </c>
      <c r="C270" s="7" t="s">
        <v>20</v>
      </c>
      <c r="D270" s="7">
        <f>TR(C5,"TR.FacilitiesWaterDischarge","#1 curn=#2 Scale=2 ch:fd transpose:y NULL=BLANK",,C13,C12)</f>
        <v>0</v>
      </c>
      <c r="E270" s="7"/>
      <c r="F270" s="7"/>
      <c r="G270" s="7"/>
      <c r="H270" s="7"/>
      <c r="I270" s="7"/>
    </row>
    <row r="271" spans="2:9" s="10" ht="15">
      <c r="B271" s="7" t="s">
        <v>17</v>
      </c>
      <c r="C271" s="7" t="s">
        <v>20</v>
      </c>
      <c r="D271" s="7">
        <f>TR(C5,"TR.Scope1EstTotal","#1 curn=#2 Scale=2 ch:fd transpose:y NULL=BLANK",,C13,C12)</f>
        <v>0</v>
      </c>
      <c r="E271" s="7"/>
      <c r="F271" s="7"/>
      <c r="G271" s="7"/>
      <c r="H271" s="7"/>
      <c r="I271" s="7"/>
    </row>
    <row r="272" spans="2:9" s="10" ht="15">
      <c r="B272" s="7" t="s">
        <v>17</v>
      </c>
      <c r="C272" s="7" t="s">
        <v>20</v>
      </c>
      <c r="D272" s="7">
        <f>TR(C5,"TR.Scope1EstMethod","#1 curn=#2 Scale=2 ch:fd transpose:y NULL=BLANK",,C13,C12)</f>
        <v>0</v>
      </c>
      <c r="E272" s="7"/>
      <c r="F272" s="7"/>
      <c r="G272" s="7"/>
      <c r="H272" s="7"/>
      <c r="I272" s="7"/>
    </row>
    <row r="273" spans="2:9" s="10" ht="15">
      <c r="B273" s="7" t="s">
        <v>17</v>
      </c>
      <c r="C273" s="7" t="s">
        <v>20</v>
      </c>
      <c r="D273" s="7">
        <f>TR(C5,"TR.Scope1EstDate","#1 curn=#2 Scale=2 ch:fd transpose:y NULL=BLANK",,C13,C12)</f>
        <v>0</v>
      </c>
      <c r="E273" s="7"/>
      <c r="F273" s="7"/>
      <c r="G273" s="7"/>
      <c r="H273" s="7"/>
      <c r="I273" s="7"/>
    </row>
    <row r="274" spans="2:9" s="10" ht="15">
      <c r="B274" s="7" t="s">
        <v>17</v>
      </c>
      <c r="C274" s="7" t="s">
        <v>20</v>
      </c>
      <c r="D274" s="7">
        <f>TR(C5,"TR.Scope2EstTotal","#1 curn=#2 Scale=2 ch:fd transpose:y NULL=BLANK",,C13,C12)</f>
        <v>0</v>
      </c>
      <c r="E274" s="7"/>
      <c r="F274" s="7"/>
      <c r="G274" s="7"/>
      <c r="H274" s="7"/>
      <c r="I274" s="7"/>
    </row>
    <row r="275" spans="2:9" s="10" ht="15">
      <c r="B275" s="7" t="s">
        <v>17</v>
      </c>
      <c r="C275" s="7" t="s">
        <v>20</v>
      </c>
      <c r="D275" s="7">
        <f>TR(C5,"TR.Scope2EstMethod","#1 curn=#2 Scale=2 ch:fd transpose:y NULL=BLANK",,C13,C12)</f>
        <v>0</v>
      </c>
      <c r="E275" s="7"/>
      <c r="F275" s="7"/>
      <c r="G275" s="7"/>
      <c r="H275" s="7"/>
      <c r="I275" s="7"/>
    </row>
    <row r="276" spans="2:9" s="10" ht="15">
      <c r="B276" s="7" t="s">
        <v>17</v>
      </c>
      <c r="C276" s="7" t="s">
        <v>20</v>
      </c>
      <c r="D276" s="7">
        <f>TR(C5,"TR.Scope2EstDate","#1 curn=#2 Scale=2 ch:fd transpose:y NULL=BLANK",,C13,C12)</f>
        <v>0</v>
      </c>
      <c r="E276" s="7"/>
      <c r="F276" s="7"/>
      <c r="G276" s="7"/>
      <c r="H276" s="7"/>
      <c r="I276" s="7"/>
    </row>
    <row r="277" spans="2:9" s="10" ht="15">
      <c r="B277" s="7" t="s">
        <v>17</v>
      </c>
      <c r="C277" s="7" t="s">
        <v>20</v>
      </c>
      <c r="D277" s="7">
        <f>TR(C5,"TR.Scope1and2EstTotal","#1 curn=#2 Scale=2 ch:fd transpose:y NULL=BLANK",,C13,C12)</f>
        <v>0</v>
      </c>
      <c r="E277" s="7"/>
      <c r="F277" s="7"/>
      <c r="G277" s="7"/>
      <c r="H277" s="7"/>
      <c r="I277" s="7"/>
    </row>
    <row r="278" spans="2:9" s="10" ht="15">
      <c r="B278" s="7" t="s">
        <v>19</v>
      </c>
      <c r="C278" s="7" t="s">
        <v>21</v>
      </c>
      <c r="D278" s="7">
        <f>TR(C5,"TR.EnvProducts","#1 curn=#2 Scale=2 ch:fd transpose:y NULL=BLANK",,C13,C12)</f>
        <v>0</v>
      </c>
      <c r="E278" s="7"/>
      <c r="F278" s="7"/>
      <c r="G278" s="7"/>
      <c r="H278" s="7"/>
      <c r="I278" s="7"/>
    </row>
    <row r="279" spans="2:9" s="10" ht="15">
      <c r="B279" s="7" t="s">
        <v>17</v>
      </c>
      <c r="C279" s="7" t="s">
        <v>21</v>
      </c>
      <c r="D279" s="7">
        <f>TR(C5,"TR.EcoDesignProducts","#1 curn=#2 Scale=2 ch:fd transpose:y NULL=BLANK",,C13,C12)</f>
        <v>0</v>
      </c>
      <c r="E279" s="7"/>
      <c r="F279" s="7"/>
      <c r="G279" s="7"/>
      <c r="H279" s="7"/>
      <c r="I279" s="7"/>
    </row>
    <row r="280" spans="2:9" s="10" ht="15">
      <c r="B280" s="7" t="s">
        <v>17</v>
      </c>
      <c r="C280" s="7" t="s">
        <v>21</v>
      </c>
      <c r="D280" s="7">
        <f>TR(C5,"TR.RevenueEnvProducts","#1 curn=#2 Scale=2 ch:fd transpose:y NULL=BLANK",,C13,C12)</f>
        <v>0</v>
      </c>
      <c r="E280" s="7"/>
      <c r="F280" s="7"/>
      <c r="G280" s="7"/>
      <c r="H280" s="7"/>
      <c r="I280" s="7"/>
    </row>
    <row r="281" spans="2:9" s="10" ht="15">
      <c r="B281" s="7" t="s">
        <v>17</v>
      </c>
      <c r="C281" s="7" t="s">
        <v>21</v>
      </c>
      <c r="D281" s="7">
        <f>TR(C5,"TR.PercentageGreenProducts","#1 curn=#2 Scale=2 ch:fd transpose:y NULL=BLANK",,C13,C12)</f>
        <v>0</v>
      </c>
      <c r="E281" s="7"/>
      <c r="F281" s="7"/>
      <c r="G281" s="7"/>
      <c r="H281" s="7"/>
      <c r="I281" s="7"/>
    </row>
    <row r="282" spans="2:9" s="10" ht="15">
      <c r="B282" s="7" t="s">
        <v>17</v>
      </c>
      <c r="C282" s="7" t="s">
        <v>21</v>
      </c>
      <c r="D282" s="7">
        <f>TR(C5,"TR.AnalyticEnvRD","#1 curn=#2 Scale=2 ch:fd transpose:y NULL=BLANK",,C13,C12)</f>
        <v>0</v>
      </c>
      <c r="E282" s="7"/>
      <c r="F282" s="7"/>
      <c r="G282" s="7"/>
      <c r="H282" s="7"/>
      <c r="I282" s="7"/>
    </row>
    <row r="283" spans="2:9" s="10" ht="15">
      <c r="B283" s="7" t="s">
        <v>17</v>
      </c>
      <c r="C283" s="7" t="s">
        <v>21</v>
      </c>
      <c r="D283" s="7">
        <f>TR(C5,"TR.EnvRD","#1 curn=#2 Scale=2 ch:fd transpose:y NULL=BLANK",,C13,C12)</f>
        <v>0</v>
      </c>
      <c r="E283" s="7"/>
      <c r="F283" s="7"/>
      <c r="G283" s="7"/>
      <c r="H283" s="7"/>
      <c r="I283" s="7"/>
    </row>
    <row r="284" spans="2:9" s="10" ht="15">
      <c r="B284" s="7" t="s">
        <v>17</v>
      </c>
      <c r="C284" s="7" t="s">
        <v>21</v>
      </c>
      <c r="D284" s="7">
        <f>TR(C5,"TR.NoiseReduction","#1 curn=#2 Scale=2 ch:fd transpose:y NULL=BLANK",,C13,C12)</f>
        <v>0</v>
      </c>
      <c r="E284" s="7"/>
      <c r="F284" s="7"/>
      <c r="G284" s="7"/>
      <c r="H284" s="7"/>
      <c r="I284" s="7"/>
    </row>
    <row r="285" spans="2:9" s="10" ht="15">
      <c r="B285" s="7" t="s">
        <v>17</v>
      </c>
      <c r="C285" s="7" t="s">
        <v>21</v>
      </c>
      <c r="D285" s="7">
        <f>TR(C5,"TR.FleetFuelConsumption","#1 curn=#2 Scale=2 ch:fd transpose:y NULL=BLANK",,C13,C12)</f>
        <v>0</v>
      </c>
      <c r="E285" s="7"/>
      <c r="F285" s="7"/>
      <c r="G285" s="7"/>
      <c r="H285" s="7"/>
      <c r="I285" s="7"/>
    </row>
    <row r="286" spans="2:9" s="10" ht="15">
      <c r="B286" s="7" t="s">
        <v>17</v>
      </c>
      <c r="C286" s="7" t="s">
        <v>21</v>
      </c>
      <c r="D286" s="7">
        <f>TR(C5,"TR.HybridVehicles","#1 curn=#2 Scale=2 ch:fd transpose:y NULL=BLANK",,C13,C12)</f>
        <v>0</v>
      </c>
      <c r="E286" s="7"/>
      <c r="F286" s="7"/>
      <c r="G286" s="7"/>
      <c r="H286" s="7"/>
      <c r="I286" s="7"/>
    </row>
    <row r="287" spans="2:9" s="10" ht="15">
      <c r="B287" s="7" t="s">
        <v>17</v>
      </c>
      <c r="C287" s="7" t="s">
        <v>21</v>
      </c>
      <c r="D287" s="7">
        <f>TR(C5,"TR.FleetCO2Emissions","#1 curn=#2 Scale=2 ch:fd transpose:y NULL=BLANK",,C13,C12)</f>
        <v>0</v>
      </c>
      <c r="E287" s="7"/>
      <c r="F287" s="7"/>
      <c r="G287" s="7"/>
      <c r="H287" s="7"/>
      <c r="I287" s="7"/>
    </row>
    <row r="288" spans="2:9" s="10" ht="15">
      <c r="B288" s="7" t="s">
        <v>17</v>
      </c>
      <c r="C288" s="7" t="s">
        <v>21</v>
      </c>
      <c r="D288" s="7">
        <f>TR(C5,"TR.EnvAUM","#1 curn=#2 Scale=2 ch:fd transpose:y NULL=BLANK",,C13,C12)</f>
        <v>0</v>
      </c>
      <c r="E288" s="7"/>
      <c r="F288" s="7"/>
      <c r="G288" s="7"/>
      <c r="H288" s="7"/>
      <c r="I288" s="7"/>
    </row>
    <row r="289" spans="2:9" s="10" ht="15">
      <c r="B289" s="7" t="s">
        <v>17</v>
      </c>
      <c r="C289" s="7" t="s">
        <v>21</v>
      </c>
      <c r="D289" s="7">
        <f>TR(C5,"TR.ESGAssetsUnderManagement","#1 curn=#2 Scale=2 ch:fd transpose:y NULL=BLANK",,C13,C12)</f>
        <v>0</v>
      </c>
      <c r="E289" s="7"/>
      <c r="F289" s="7"/>
      <c r="G289" s="7"/>
      <c r="H289" s="7"/>
      <c r="I289" s="7"/>
    </row>
    <row r="290" spans="2:9" s="10" ht="15">
      <c r="B290" s="7" t="s">
        <v>17</v>
      </c>
      <c r="C290" s="7" t="s">
        <v>21</v>
      </c>
      <c r="D290" s="7">
        <f>TR(C5,"TR.EquatorPrinciples","#1 curn=#2 Scale=2 ch:fd transpose:y NULL=BLANK",,C13,C12)</f>
        <v>0</v>
      </c>
      <c r="E290" s="7"/>
      <c r="F290" s="7"/>
      <c r="G290" s="7"/>
      <c r="H290" s="7"/>
      <c r="I290" s="7"/>
    </row>
    <row r="291" spans="2:9" s="10" ht="15">
      <c r="B291" s="7" t="s">
        <v>17</v>
      </c>
      <c r="C291" s="7" t="s">
        <v>21</v>
      </c>
      <c r="D291" s="7">
        <f>TR(C5,"TR.AnalyticEnvProjectFinancing","#1 curn=#2 Scale=2 ch:fd transpose:y NULL=BLANK",,C13,C12)</f>
        <v>0</v>
      </c>
      <c r="E291" s="7"/>
      <c r="F291" s="7"/>
      <c r="G291" s="7"/>
      <c r="H291" s="7"/>
      <c r="I291" s="7"/>
    </row>
    <row r="292" spans="2:9" s="10" ht="15">
      <c r="B292" s="7" t="s">
        <v>17</v>
      </c>
      <c r="C292" s="7" t="s">
        <v>21</v>
      </c>
      <c r="D292" s="7">
        <f>TR(C5,"TR.EnvProjectFinancing","#1 curn=#2 Scale=2 ch:fd transpose:y NULL=BLANK",,C13,C12)</f>
        <v>0</v>
      </c>
      <c r="E292" s="7"/>
      <c r="F292" s="7"/>
      <c r="G292" s="7"/>
      <c r="H292" s="7"/>
      <c r="I292" s="7"/>
    </row>
    <row r="293" spans="2:9" s="10" ht="15">
      <c r="B293" s="7" t="s">
        <v>17</v>
      </c>
      <c r="C293" s="7" t="s">
        <v>21</v>
      </c>
      <c r="D293" s="7">
        <f>TR(C5,"TR.Nuclear","#1 curn=#2 Scale=2 ch:fd transpose:y NULL=BLANK",,C13,C12)</f>
        <v>0</v>
      </c>
      <c r="E293" s="7"/>
      <c r="F293" s="7"/>
      <c r="G293" s="7"/>
      <c r="H293" s="7"/>
      <c r="I293" s="7"/>
    </row>
    <row r="294" spans="2:9" s="10" ht="15">
      <c r="B294" s="7" t="s">
        <v>17</v>
      </c>
      <c r="C294" s="7" t="s">
        <v>21</v>
      </c>
      <c r="D294" s="7">
        <f>TR(C5,"TR.NuclearProduction","#1 curn=#2 Scale=2 ch:fd transpose:y NULL=BLANK",,C13,C12)</f>
        <v>0</v>
      </c>
      <c r="E294" s="7"/>
      <c r="F294" s="7"/>
      <c r="G294" s="7"/>
      <c r="H294" s="7"/>
      <c r="I294" s="7"/>
    </row>
    <row r="295" spans="2:9" s="10" ht="15">
      <c r="B295" s="7" t="s">
        <v>17</v>
      </c>
      <c r="C295" s="7" t="s">
        <v>21</v>
      </c>
      <c r="D295" s="7">
        <f>TR(C5,"TR.LabeledWoodPctage","#1 curn=#2 Scale=2 ch:fd transpose:y NULL=BLANK",,C13,C12)</f>
        <v>0</v>
      </c>
      <c r="E295" s="7"/>
      <c r="F295" s="7"/>
      <c r="G295" s="7"/>
      <c r="H295" s="7"/>
      <c r="I295" s="7"/>
    </row>
    <row r="296" spans="2:9" s="10" ht="15">
      <c r="B296" s="7" t="s">
        <v>17</v>
      </c>
      <c r="C296" s="7" t="s">
        <v>21</v>
      </c>
      <c r="D296" s="7">
        <f>TR(C5,"TR.LabeledWood","#1 curn=#2 Scale=2 ch:fd transpose:y NULL=BLANK",,C13,C12)</f>
        <v>0</v>
      </c>
      <c r="E296" s="7"/>
      <c r="F296" s="7"/>
      <c r="G296" s="7"/>
      <c r="H296" s="7"/>
      <c r="I296" s="7"/>
    </row>
    <row r="297" spans="2:9" s="10" ht="15">
      <c r="B297" s="7" t="s">
        <v>17</v>
      </c>
      <c r="C297" s="7" t="s">
        <v>21</v>
      </c>
      <c r="D297" s="7">
        <f>TR(C5,"TR.OrganicProductsInitiatives","#1 curn=#2 Scale=2 ch:fd transpose:y NULL=BLANK",,C13,C12)</f>
        <v>0</v>
      </c>
      <c r="E297" s="7"/>
      <c r="F297" s="7"/>
      <c r="G297" s="7"/>
      <c r="H297" s="7"/>
      <c r="I297" s="7"/>
    </row>
    <row r="298" spans="2:9" s="10" ht="15">
      <c r="B298" s="7" t="s">
        <v>17</v>
      </c>
      <c r="C298" s="7" t="s">
        <v>21</v>
      </c>
      <c r="D298" s="7">
        <f>TR(C5,"TR.AnalyticProductImpactMin","#1 curn=#2 Scale=2 ch:fd transpose:y NULL=BLANK",,C13,C12)</f>
        <v>0</v>
      </c>
      <c r="E298" s="7"/>
      <c r="F298" s="7"/>
      <c r="G298" s="7"/>
      <c r="H298" s="7"/>
      <c r="I298" s="7"/>
    </row>
    <row r="299" spans="2:9" s="10" ht="15">
      <c r="B299" s="7" t="s">
        <v>17</v>
      </c>
      <c r="C299" s="7" t="s">
        <v>21</v>
      </c>
      <c r="D299" s="7">
        <f>TR(C5,"TR.TakebackRecyclingInitiatives","#1 curn=#2 Scale=2 ch:fd transpose:y NULL=BLANK",,C13,C12)</f>
        <v>0</v>
      </c>
      <c r="E299" s="7"/>
      <c r="F299" s="7"/>
      <c r="G299" s="7"/>
      <c r="H299" s="7"/>
      <c r="I299" s="7"/>
    </row>
    <row r="300" spans="2:9" s="10" ht="15">
      <c r="B300" s="7" t="s">
        <v>17</v>
      </c>
      <c r="C300" s="7" t="s">
        <v>21</v>
      </c>
      <c r="D300" s="7">
        <f>TR(C5,"TR.ProductsRecoveredRecycle","#1 curn=#2 Scale=2 ch:fd transpose:y NULL=BLANK",,C13,C12)</f>
        <v>0</v>
      </c>
      <c r="E300" s="7"/>
      <c r="F300" s="7"/>
      <c r="G300" s="7"/>
      <c r="H300" s="7"/>
      <c r="I300" s="7"/>
    </row>
    <row r="301" spans="2:9" s="10" ht="15">
      <c r="B301" s="7" t="s">
        <v>17</v>
      </c>
      <c r="C301" s="7" t="s">
        <v>21</v>
      </c>
      <c r="D301" s="7">
        <f>TR(C5,"TR.ProductEnvResponsibleUse","#1 curn=#2 Scale=2 ch:fd transpose:y NULL=BLANK",,C13,C12)</f>
        <v>0</v>
      </c>
      <c r="E301" s="7"/>
      <c r="F301" s="7"/>
      <c r="G301" s="7"/>
      <c r="H301" s="7"/>
      <c r="I301" s="7"/>
    </row>
    <row r="302" spans="2:9" s="10" ht="15">
      <c r="B302" s="7" t="s">
        <v>17</v>
      </c>
      <c r="C302" s="7" t="s">
        <v>21</v>
      </c>
      <c r="D302" s="7">
        <f>TR(C5,"TR.GMOProducts","#1 curn=#2 Scale=2 ch:fd transpose:y NULL=BLANK",,C13,C12)</f>
        <v>0</v>
      </c>
      <c r="E302" s="7"/>
      <c r="F302" s="7"/>
      <c r="G302" s="7"/>
      <c r="H302" s="7"/>
      <c r="I302" s="7"/>
    </row>
    <row r="303" spans="2:9" s="10" ht="15">
      <c r="B303" s="7" t="s">
        <v>17</v>
      </c>
      <c r="C303" s="7" t="s">
        <v>21</v>
      </c>
      <c r="D303" s="7">
        <f>TR(C5,"TR.AgrochemicalProducts","#1 curn=#2 Scale=2 ch:fd transpose:y NULL=BLANK",,C13,C12)</f>
        <v>0</v>
      </c>
      <c r="E303" s="7"/>
      <c r="F303" s="7"/>
      <c r="G303" s="7"/>
      <c r="H303" s="7"/>
      <c r="I303" s="7"/>
    </row>
    <row r="304" spans="2:9" s="10" ht="15">
      <c r="B304" s="7" t="s">
        <v>17</v>
      </c>
      <c r="C304" s="7" t="s">
        <v>21</v>
      </c>
      <c r="D304" s="7">
        <f>TR(C5,"TR.Agrochemical5PctRevenue","#1 curn=#2 Scale=2 ch:fd transpose:y NULL=BLANK",,C13,C12)</f>
        <v>0</v>
      </c>
      <c r="E304" s="7"/>
      <c r="F304" s="7"/>
      <c r="G304" s="7"/>
      <c r="H304" s="7"/>
      <c r="I304" s="7"/>
    </row>
    <row r="305" spans="2:9" s="10" ht="15">
      <c r="B305" s="7" t="s">
        <v>17</v>
      </c>
      <c r="C305" s="7" t="s">
        <v>21</v>
      </c>
      <c r="D305" s="7">
        <f>TR(C5,"TR.AnimalTesting","#1 curn=#2 Scale=2 ch:fd transpose:y NULL=BLANK",,C13,C12)</f>
        <v>0</v>
      </c>
      <c r="E305" s="7"/>
      <c r="F305" s="7"/>
      <c r="G305" s="7"/>
      <c r="H305" s="7"/>
      <c r="I305" s="7"/>
    </row>
    <row r="306" spans="2:9" s="10" ht="15">
      <c r="B306" s="7" t="s">
        <v>17</v>
      </c>
      <c r="C306" s="7" t="s">
        <v>21</v>
      </c>
      <c r="D306" s="7">
        <f>TR(C5,"TR.AnimalTestingCosmetics","#1 curn=#2 Scale=2 ch:fd transpose:y NULL=BLANK",,C13,C12)</f>
        <v>0</v>
      </c>
      <c r="E306" s="7"/>
      <c r="F306" s="7"/>
      <c r="G306" s="7"/>
      <c r="H306" s="7"/>
      <c r="I306" s="7"/>
    </row>
    <row r="307" spans="2:9" s="10" ht="15">
      <c r="B307" s="7" t="s">
        <v>17</v>
      </c>
      <c r="C307" s="7" t="s">
        <v>21</v>
      </c>
      <c r="D307" s="7">
        <f>TR(C5,"TR.AnimalTestingReduction","#1 curn=#2 Scale=2 ch:fd transpose:y NULL=BLANK",,C13,C12)</f>
        <v>0</v>
      </c>
      <c r="E307" s="7"/>
      <c r="F307" s="7"/>
      <c r="G307" s="7"/>
      <c r="H307" s="7"/>
      <c r="I307" s="7"/>
    </row>
    <row r="308" spans="2:9" s="10" ht="15">
      <c r="B308" s="7" t="s">
        <v>19</v>
      </c>
      <c r="C308" s="7" t="s">
        <v>21</v>
      </c>
      <c r="D308" s="7">
        <f>TR(C5,"TR.CleanEnergyProducts","#1 curn=#2 Scale=2 ch:fd transpose:y NULL=BLANK",,C13,C12)</f>
        <v>0</v>
      </c>
      <c r="E308" s="7"/>
      <c r="F308" s="7"/>
      <c r="G308" s="7"/>
      <c r="H308" s="7"/>
      <c r="I308" s="7"/>
    </row>
    <row r="309" spans="2:9" s="10" ht="15">
      <c r="B309" s="7" t="s">
        <v>17</v>
      </c>
      <c r="C309" s="7" t="s">
        <v>21</v>
      </c>
      <c r="D309" s="7">
        <f>TR(C5,"TR.WaterTechnologies","#1 curn=#2 Scale=2 ch:fd transpose:y NULL=BLANK",,C13,C12)</f>
        <v>0</v>
      </c>
      <c r="E309" s="7"/>
      <c r="F309" s="7"/>
      <c r="G309" s="7"/>
      <c r="H309" s="7"/>
      <c r="I309" s="7"/>
    </row>
    <row r="310" spans="2:9" s="10" ht="15">
      <c r="B310" s="7" t="s">
        <v>17</v>
      </c>
      <c r="C310" s="7" t="s">
        <v>21</v>
      </c>
      <c r="D310" s="7">
        <f>TR(C5,"TR.SustainableBuildingProducts","#1 curn=#2 Scale=2 ch:fd transpose:y NULL=BLANK",,C13,C12)</f>
        <v>0</v>
      </c>
      <c r="E310" s="7"/>
      <c r="F310" s="7"/>
      <c r="G310" s="7"/>
      <c r="H310" s="7"/>
      <c r="I310" s="7"/>
    </row>
    <row r="311" spans="2:9" s="10" ht="15">
      <c r="B311" s="7" t="s">
        <v>17</v>
      </c>
      <c r="C311" s="7" t="s">
        <v>21</v>
      </c>
      <c r="D311" s="7">
        <f>TR(C5,"TR.RealEstateSustainabilityCtfs","#1 curn=#2 Scale=2 ch:fd transpose:y NULL=BLANK",,C13,C12)</f>
        <v>0</v>
      </c>
      <c r="E311" s="7"/>
      <c r="F311" s="7"/>
      <c r="G311" s="7"/>
      <c r="H311" s="7"/>
      <c r="I311" s="7"/>
    </row>
    <row r="312" spans="2:9" s="10" ht="15">
      <c r="B312" s="7" t="s">
        <v>17</v>
      </c>
      <c r="C312" s="7" t="s">
        <v>21</v>
      </c>
      <c r="D312" s="7">
        <f>TR(C5,"TR.FossilFuelDivestmentPolicy","#1 curn=#2 Scale=2 ch:fd transpose:y NULL=BLANK",,C13,C12)</f>
        <v>0</v>
      </c>
      <c r="E312" s="7"/>
      <c r="F312" s="7"/>
      <c r="G312" s="7"/>
      <c r="H312" s="7"/>
      <c r="I312" s="7"/>
    </row>
    <row r="313" spans="2:9" s="10" ht="15">
      <c r="B313" s="7" t="s">
        <v>17</v>
      </c>
      <c r="C313" s="7" t="s">
        <v>21</v>
      </c>
      <c r="D313" s="7">
        <f>TR(C5,"TR.FossilFuelDivestmentTargetYear","#1 curn=#2 Scale=2 ch:fd transpose:y NULL=BLANK",,C13,C12)</f>
        <v>0</v>
      </c>
      <c r="E313" s="7"/>
      <c r="F313" s="7"/>
      <c r="G313" s="7"/>
      <c r="H313" s="7"/>
      <c r="I313" s="7"/>
    </row>
    <row r="314" spans="2:9" s="10" ht="15">
      <c r="B314" s="7" t="s">
        <v>17</v>
      </c>
      <c r="C314" s="7" t="s">
        <v>21</v>
      </c>
      <c r="D314" s="7">
        <f>TR(C5,"TR.GreenCapex","#1 curn=#2 Scale=2 ch:fd transpose:y NULL=BLANK",,C13,C12)</f>
        <v>0</v>
      </c>
      <c r="E314" s="7"/>
      <c r="F314" s="7"/>
      <c r="G314" s="7"/>
      <c r="H314" s="7"/>
      <c r="I314" s="7"/>
    </row>
    <row r="315" spans="2:9" s="10" ht="15">
      <c r="B315" s="7" t="s">
        <v>17</v>
      </c>
      <c r="C315" s="7" t="s">
        <v>21</v>
      </c>
      <c r="D315" s="7">
        <f>TR(C5,"TR.GreenCapexTarget","#1 curn=#2 Scale=2 ch:fd transpose:y NULL=BLANK",,C13,C12)</f>
        <v>0</v>
      </c>
      <c r="E315" s="7"/>
      <c r="F315" s="7"/>
      <c r="G315" s="7"/>
      <c r="H315" s="7"/>
      <c r="I315" s="7"/>
    </row>
    <row r="316" spans="2:9" s="10" ht="15">
      <c r="B316" s="7" t="s">
        <v>17</v>
      </c>
      <c r="C316" s="7" t="s">
        <v>21</v>
      </c>
      <c r="D316" s="7">
        <f>TR(C5,"TR.GreenRevenuesTarget","#1 curn=#2 Scale=2 ch:fd transpose:y NULL=BLANK",,C13,C12)</f>
        <v>0</v>
      </c>
      <c r="E316" s="7"/>
      <c r="F316" s="7"/>
      <c r="G316" s="7"/>
      <c r="H316" s="7"/>
      <c r="I316" s="7"/>
    </row>
    <row r="317" spans="2:9" s="10" ht="15">
      <c r="B317" s="7" t="s">
        <v>17</v>
      </c>
      <c r="C317" s="7" t="s">
        <v>21</v>
      </c>
      <c r="D317" s="7">
        <f>TR(C5,"TR.LifeCycleAnalysis","#1 curn=#2 Scale=2 ch:fd transpose:y NULL=BLANK",,C13,C12)</f>
        <v>0</v>
      </c>
      <c r="E317" s="7"/>
      <c r="F317" s="7"/>
      <c r="G317" s="7"/>
      <c r="H317" s="7"/>
      <c r="I317" s="7"/>
    </row>
    <row r="318" spans="2:9" s="10" ht="15">
      <c r="B318" s="7" t="s">
        <v>17</v>
      </c>
      <c r="C318" s="7" t="s">
        <v>21</v>
      </c>
      <c r="D318" s="7">
        <f>TR(C5,"TR.RoundtableforSustainablePalmOilSupport","#1 curn=#2 Scale=2 ch:fd transpose:y NULL=BLANK",,C13,C12)</f>
        <v>0</v>
      </c>
      <c r="E318" s="7"/>
      <c r="F318" s="7"/>
      <c r="G318" s="7"/>
      <c r="H318" s="7"/>
      <c r="I318" s="7"/>
    </row>
    <row r="319" spans="2:9" s="10" ht="15">
      <c r="B319" s="7" t="s">
        <v>17</v>
      </c>
      <c r="C319" s="7" t="s">
        <v>21</v>
      </c>
      <c r="D319" s="7">
        <f>TR(C5,"TR.TargetSustainablePalmOilProduction","#1 curn=#2 Scale=2 ch:fd transpose:y NULL=BLANK",,C13,C12)</f>
        <v>0</v>
      </c>
      <c r="E319" s="7"/>
      <c r="F319" s="7"/>
      <c r="G319" s="7"/>
      <c r="H319" s="7"/>
      <c r="I319" s="7"/>
    </row>
    <row r="320" spans="2:9" s="10" ht="15">
      <c r="B320" s="7" t="s">
        <v>17</v>
      </c>
      <c r="C320" s="7" t="s">
        <v>21</v>
      </c>
      <c r="D320" s="7">
        <f>TR(C5,"TR.PollutionResourceWaterRandD","#1 curn=#2 Scale=2 ch:fd transpose:y NULL=BLANK",,C13,C12)</f>
        <v>0</v>
      </c>
      <c r="E320" s="7"/>
      <c r="F320" s="7"/>
      <c r="G320" s="7"/>
      <c r="H320" s="7"/>
      <c r="I320" s="7"/>
    </row>
    <row r="321" spans="2:9" s="10" ht="15">
      <c r="B321" s="7" t="s">
        <v>17</v>
      </c>
      <c r="C321" s="7" t="s">
        <v>21</v>
      </c>
      <c r="D321" s="7">
        <f>TR(C5,"TR.SustainablePalmOilProductionTargetYear","#1 curn=#2 Scale=2 ch:fd transpose:y NULL=BLANK",,C13,C12)</f>
        <v>0</v>
      </c>
      <c r="E321" s="7"/>
      <c r="F321" s="7"/>
      <c r="G321" s="7"/>
      <c r="H321" s="7"/>
      <c r="I321" s="7"/>
    </row>
    <row r="322" spans="2:9" s="10" ht="15">
      <c r="B322" s="7" t="s">
        <v>17</v>
      </c>
      <c r="C322" s="7" t="s">
        <v>21</v>
      </c>
      <c r="D322" s="7">
        <f>TR(C5,"TR.SustainablePalmOilProductionYearinwhichTargetwasset","#1 curn=#2 Scale=2 ch:fd transpose:y NULL=BLANK",,C13,C12)</f>
        <v>0</v>
      </c>
      <c r="E322" s="7"/>
      <c r="F322" s="7"/>
      <c r="G322" s="7"/>
      <c r="H322" s="7"/>
      <c r="I322" s="7"/>
    </row>
    <row r="323" spans="2:9" s="10" ht="15">
      <c r="B323" s="7" t="s">
        <v>17</v>
      </c>
      <c r="C323" s="7" t="s">
        <v>21</v>
      </c>
      <c r="D323" s="7">
        <f>TR(C5,"TR.CertifiedPalmOilPercent","#1 curn=#2 Scale=2 ch:fd transpose:y NULL=BLANK",,C13,C12)</f>
        <v>0</v>
      </c>
      <c r="E323" s="7"/>
      <c r="F323" s="7"/>
      <c r="G323" s="7"/>
      <c r="H323" s="7"/>
      <c r="I323" s="7"/>
    </row>
    <row r="324" spans="2:9" s="10" ht="15">
      <c r="B324" s="7" t="s">
        <v>17</v>
      </c>
      <c r="C324" s="7" t="s">
        <v>21</v>
      </c>
      <c r="D324" s="7">
        <f>TR(C5,"TR.REITGreenBuildingCertifiedPercent","#1 curn=#2 Scale=2 ch:fd transpose:y NULL=BLANK",,C13,C12)</f>
        <v>0</v>
      </c>
      <c r="E324" s="7"/>
      <c r="F324" s="7"/>
      <c r="G324" s="7"/>
      <c r="H324" s="7"/>
      <c r="I324" s="7"/>
    </row>
  </sheetData>
  <pageMargins left="0.5" right="0.5" top="1" bottom="1" header="0.5" footer="0.75"/>
  <pageSetup fitToHeight="0" orientation="portrait"/>
  <headerFooter/>
  <drawing r:id="rId1"/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pageSetUpPr fitToPage="1"/>
  </sheetPr>
  <dimension ref="B1:I296"/>
  <sheetViews>
    <sheetView view="normal" workbookViewId="0">
      <selection pane="topLeft" activeCell="A1" sqref="A1"/>
    </sheetView>
  </sheetViews>
  <sheetFormatPr defaultRowHeight="15" baseColWidth="0"/>
  <cols>
    <col min="1" max="1" width="1.7109375" style="0" customWidth="1"/>
    <col min="2" max="4" width="40.7109375" style="0" customWidth="1"/>
    <col min="5" max="9" width="15.7109375" style="0" customWidth="1"/>
  </cols>
  <sheetData>
    <row r="1" spans="2:9" s="10" customFormat="1" ht="1" customHeight="1">
      <c r="B1"/>
      <c r="C1"/>
      <c r="D1"/>
      <c r="E1"/>
      <c r="F1"/>
      <c r="G1"/>
      <c r="H1"/>
      <c r="I1"/>
    </row>
    <row r="2" spans="2:9" s="10" customFormat="1" ht="45" customHeight="1">
      <c r="B2"/>
      <c r="C2" s="1"/>
      <c r="D2" s="1"/>
      <c r="E2" s="1"/>
      <c r="F2" s="1"/>
      <c r="G2" s="1"/>
      <c r="H2" s="1"/>
      <c r="I2" s="1"/>
    </row>
    <row r="3" spans="2:9" s="10" customFormat="1" ht="45" customHeight="1">
      <c r="B3" s="2" t="s">
        <v>0</v>
      </c>
      <c r="C3" s="3"/>
      <c r="D3" s="3"/>
      <c r="E3" s="3"/>
      <c r="F3" s="3"/>
      <c r="G3" s="3"/>
      <c r="H3" s="3"/>
      <c r="I3" s="3"/>
    </row>
    <row r="4" spans="2:9" s="10" customFormat="1" ht="45" customHeight="1">
      <c r="B4" s="2" t="s">
        <v>22</v>
      </c>
      <c r="C4" s="3"/>
      <c r="D4" s="3"/>
      <c r="E4" s="3"/>
      <c r="F4" s="3"/>
      <c r="G4" s="3"/>
      <c r="H4" s="3"/>
      <c r="I4" s="3"/>
    </row>
    <row r="5" spans="2:9" s="10" ht="15">
      <c r="B5" s="1" t="s">
        <v>2</v>
      </c>
      <c r="C5" s="1" t="s">
        <v>3</v>
      </c>
      <c r="D5" s="1"/>
      <c r="E5" s="1"/>
      <c r="F5" s="1"/>
      <c r="G5" s="1"/>
      <c r="H5" s="1"/>
      <c r="I5" s="1"/>
    </row>
    <row r="6" spans="2:9" s="10" ht="15">
      <c r="B6" s="1" t="s">
        <v>4</v>
      </c>
      <c r="C6" s="1">
        <f>TR(C5,"TR.InstrumentDescription","NULL=BLANK")</f>
        <v>0</v>
      </c>
      <c r="D6" s="1"/>
      <c r="E6" s="1"/>
      <c r="F6" s="1"/>
      <c r="G6" s="1"/>
      <c r="H6" s="1"/>
      <c r="I6" s="1"/>
    </row>
    <row r="7" spans="2:9" s="10" ht="15">
      <c r="B7" s="1" t="s">
        <v>5</v>
      </c>
      <c r="C7" s="1">
        <f>TR(C5,"TR.HeadquartersCountry","NULL=BLANK")</f>
        <v>0</v>
      </c>
      <c r="D7" s="1"/>
      <c r="E7" s="1"/>
      <c r="F7" s="1"/>
      <c r="G7" s="1"/>
      <c r="H7" s="1"/>
      <c r="I7" s="1"/>
    </row>
    <row r="8" spans="2:9" s="10" ht="15">
      <c r="B8" s="1" t="s">
        <v>6</v>
      </c>
      <c r="C8" s="1">
        <f>TR(C5,"TR.GICSSector","NULL=BLANK")</f>
        <v>0</v>
      </c>
      <c r="D8" s="1"/>
      <c r="E8" s="1"/>
      <c r="F8" s="1"/>
      <c r="G8" s="1"/>
      <c r="H8" s="1"/>
      <c r="I8" s="1"/>
    </row>
    <row r="9" spans="2:9" s="10" ht="15">
      <c r="B9" s="1" t="s">
        <v>7</v>
      </c>
      <c r="C9" s="1">
        <f>TR(C5,"TR.TRBCIndustryGroup","NULL=BLANK")</f>
        <v>0</v>
      </c>
      <c r="D9" s="1"/>
      <c r="E9" s="1"/>
      <c r="F9" s="1"/>
      <c r="G9" s="1"/>
      <c r="H9" s="1"/>
      <c r="I9" s="1"/>
    </row>
    <row r="10" spans="2:9" s="10" ht="15">
      <c r="B10" s="1" t="s">
        <v>8</v>
      </c>
      <c r="C10" s="1">
        <v>5</v>
      </c>
      <c r="D10" s="1"/>
      <c r="E10" s="1"/>
      <c r="F10" s="1"/>
      <c r="G10" s="1"/>
      <c r="H10" s="1"/>
      <c r="I10" s="1"/>
    </row>
    <row r="11" spans="2:9" s="10" ht="15">
      <c r="B11" s="1" t="s">
        <v>9</v>
      </c>
      <c r="C11" s="1" t="s">
        <v>10</v>
      </c>
      <c r="D11" s="1"/>
      <c r="E11" s="1"/>
      <c r="F11" s="1"/>
      <c r="G11" s="1"/>
      <c r="H11" s="1"/>
      <c r="I11" s="1"/>
    </row>
    <row r="12" spans="2:9" s="10" ht="15">
      <c r="B12" s="1" t="s">
        <v>11</v>
      </c>
      <c r="C12" s="1" t="s">
        <v>12</v>
      </c>
      <c r="D12" s="1"/>
      <c r="E12" s="1"/>
      <c r="F12" s="1"/>
      <c r="G12" s="1"/>
      <c r="H12" s="1"/>
      <c r="I12" s="1"/>
    </row>
    <row r="13" spans="2:9" s="10" ht="15">
      <c r="B13" s="1" t="s">
        <v>13</v>
      </c>
      <c r="C13" s="1">
        <f>IF(C11="Left","Period=FY0 Sdate=0FY Edate=-"&amp;C10-1&amp;"FY FRQ=FY","Period=FY0 Sdate=-"&amp;C10-1&amp;"FY Edate=0FY FRQ=FY")</f>
        <v>0</v>
      </c>
      <c r="D13" s="1"/>
      <c r="E13" s="1"/>
      <c r="F13" s="1"/>
      <c r="G13" s="1"/>
      <c r="H13" s="1"/>
      <c r="I13" s="1"/>
    </row>
    <row r="14" spans="2:9" s="10" ht="15">
      <c r="B14" s="1"/>
      <c r="C14" s="1"/>
      <c r="D14" s="1"/>
      <c r="E14" s="1"/>
      <c r="F14" s="1"/>
      <c r="G14" s="1"/>
      <c r="H14" s="1"/>
      <c r="I14" s="1"/>
    </row>
    <row r="15" spans="2:9" s="10" ht="15">
      <c r="B15" s="4" t="s">
        <v>15</v>
      </c>
      <c r="C15" s="4" t="s">
        <v>16</v>
      </c>
      <c r="D15" s="4">
        <f>TR(C5,"TR.TRESGSCORE.Periodenddate","#1 transpose:y NULL=BLANK",INDIRECT(ADDRESS(ROW(),COLUMN()+1)&amp;":"&amp;ADDRESS(ROW(),COLUMN()+100)),C13)</f>
        <v>0</v>
      </c>
      <c r="E15" s="4"/>
      <c r="F15" s="4"/>
      <c r="G15" s="4"/>
      <c r="H15" s="4"/>
      <c r="I15" s="4"/>
    </row>
    <row r="16" spans="2:9" s="10" ht="15">
      <c r="B16" s="6"/>
      <c r="C16" s="6" t="s">
        <v>1</v>
      </c>
      <c r="D16" s="6">
        <f>TR(C5,"TR.TRESGCScore","#1 curn=#2 Scale=2 ch:fd transpose:y NULL=BLANK",,C13,C12)</f>
        <v>0</v>
      </c>
      <c r="E16" s="6"/>
      <c r="F16" s="6"/>
      <c r="G16" s="6"/>
      <c r="H16" s="6"/>
      <c r="I16" s="6"/>
    </row>
    <row r="17" spans="2:9" s="10" ht="15">
      <c r="B17" s="6"/>
      <c r="C17" s="6" t="s">
        <v>1</v>
      </c>
      <c r="D17" s="6">
        <f>TR(C5,"TR.TRESGScore","#1 curn=#2 Scale=2 ch:fd transpose:y NULL=BLANK",,C13,C12)</f>
        <v>0</v>
      </c>
      <c r="E17" s="6"/>
      <c r="F17" s="6"/>
      <c r="G17" s="6"/>
      <c r="H17" s="6"/>
      <c r="I17" s="6"/>
    </row>
    <row r="18" spans="2:9" s="10" ht="15">
      <c r="B18" s="6"/>
      <c r="C18" s="6" t="s">
        <v>1</v>
      </c>
      <c r="D18" s="6">
        <f>TR(C5,"TR.TRESGCControversiesScore","#1 curn=#2 Scale=2 ch:fd transpose:y NULL=BLANK",,C13,C12)</f>
        <v>0</v>
      </c>
      <c r="E18" s="6"/>
      <c r="F18" s="6"/>
      <c r="G18" s="6"/>
      <c r="H18" s="6"/>
      <c r="I18" s="6"/>
    </row>
    <row r="19" spans="2:9" s="10" ht="15">
      <c r="B19" s="7" t="s">
        <v>19</v>
      </c>
      <c r="C19" s="7" t="s">
        <v>23</v>
      </c>
      <c r="D19" s="7">
        <f>TR(C5,"TR.AnalyticHealthSafetyPolicy","#1 curn=#2 Scale=2 ch:fd transpose:y NULL=BLANK",,C13,C12)</f>
        <v>0</v>
      </c>
      <c r="E19" s="7"/>
      <c r="F19" s="7"/>
      <c r="G19" s="7"/>
      <c r="H19" s="7"/>
      <c r="I19" s="7"/>
    </row>
    <row r="20" spans="2:9" s="10" ht="15">
      <c r="B20" s="7" t="s">
        <v>17</v>
      </c>
      <c r="C20" s="7" t="s">
        <v>23</v>
      </c>
      <c r="D20" s="7">
        <f>TR(C5,"TR.EmployeeHealthSafetyPolicy","#1 curn=#2 Scale=2 ch:fd transpose:y NULL=BLANK",,C13,C12)</f>
        <v>0</v>
      </c>
      <c r="E20" s="7"/>
      <c r="F20" s="7"/>
      <c r="G20" s="7"/>
      <c r="H20" s="7"/>
      <c r="I20" s="7"/>
    </row>
    <row r="21" spans="2:9" s="10" ht="15">
      <c r="B21" s="7" t="s">
        <v>17</v>
      </c>
      <c r="C21" s="7" t="s">
        <v>23</v>
      </c>
      <c r="D21" s="7">
        <f>TR(C5,"TR.SupplyChainHSPolicy","#1 curn=#2 Scale=2 ch:fd transpose:y NULL=BLANK",,C13,C12)</f>
        <v>0</v>
      </c>
      <c r="E21" s="7"/>
      <c r="F21" s="7"/>
      <c r="G21" s="7"/>
      <c r="H21" s="7"/>
      <c r="I21" s="7"/>
    </row>
    <row r="22" spans="2:9" s="10" ht="15">
      <c r="B22" s="7" t="s">
        <v>19</v>
      </c>
      <c r="C22" s="7" t="s">
        <v>23</v>
      </c>
      <c r="D22" s="7">
        <f>TR(C5,"TR.AnalyticTrainingDevPolicy","#1 curn=#2 Scale=2 ch:fd transpose:y NULL=BLANK",,C13,C12)</f>
        <v>0</v>
      </c>
      <c r="E22" s="7"/>
      <c r="F22" s="7"/>
      <c r="G22" s="7"/>
      <c r="H22" s="7"/>
      <c r="I22" s="7"/>
    </row>
    <row r="23" spans="2:9" s="10" ht="15">
      <c r="B23" s="7" t="s">
        <v>17</v>
      </c>
      <c r="C23" s="7" t="s">
        <v>23</v>
      </c>
      <c r="D23" s="7">
        <f>TR(C5,"TR.PolicySkillsTraining","#1 curn=#2 Scale=2 ch:fd transpose:y NULL=BLANK",,C13,C12)</f>
        <v>0</v>
      </c>
      <c r="E23" s="7"/>
      <c r="F23" s="7"/>
      <c r="G23" s="7"/>
      <c r="H23" s="7"/>
      <c r="I23" s="7"/>
    </row>
    <row r="24" spans="2:9" s="10" ht="15">
      <c r="B24" s="7" t="s">
        <v>17</v>
      </c>
      <c r="C24" s="7" t="s">
        <v>23</v>
      </c>
      <c r="D24" s="7">
        <f>TR(C5,"TR.PolicyCareerDevelopment","#1 curn=#2 Scale=2 ch:fd transpose:y NULL=BLANK",,C13,C12)</f>
        <v>0</v>
      </c>
      <c r="E24" s="7"/>
      <c r="F24" s="7"/>
      <c r="G24" s="7"/>
      <c r="H24" s="7"/>
      <c r="I24" s="7"/>
    </row>
    <row r="25" spans="2:9" s="10" ht="15">
      <c r="B25" s="7" t="s">
        <v>19</v>
      </c>
      <c r="C25" s="7" t="s">
        <v>23</v>
      </c>
      <c r="D25" s="7">
        <f>TR(C5,"TR.PolicyDiversityOpportunity","#1 curn=#2 Scale=2 ch:fd transpose:y NULL=BLANK",,C13,C12)</f>
        <v>0</v>
      </c>
      <c r="E25" s="7"/>
      <c r="F25" s="7"/>
      <c r="G25" s="7"/>
      <c r="H25" s="7"/>
      <c r="I25" s="7"/>
    </row>
    <row r="26" spans="2:9" s="10" ht="15">
      <c r="B26" s="7" t="s">
        <v>19</v>
      </c>
      <c r="C26" s="7" t="s">
        <v>23</v>
      </c>
      <c r="D26" s="7">
        <f>TR(C5,"TR.TargetsDiversityOpportunity","#1 curn=#2 Scale=2 ch:fd transpose:y NULL=BLANK",,C13,C12)</f>
        <v>0</v>
      </c>
      <c r="E26" s="7"/>
      <c r="F26" s="7"/>
      <c r="G26" s="7"/>
      <c r="H26" s="7"/>
      <c r="I26" s="7"/>
    </row>
    <row r="27" spans="2:9" s="10" ht="15">
      <c r="B27" s="7" t="s">
        <v>19</v>
      </c>
      <c r="C27" s="7" t="s">
        <v>23</v>
      </c>
      <c r="D27" s="7">
        <f>TR(C5,"TR.EmployeesHealthSafetyTeam","#1 curn=#2 Scale=2 ch:fd transpose:y NULL=BLANK",,C13,C12)</f>
        <v>0</v>
      </c>
      <c r="E27" s="7"/>
      <c r="F27" s="7"/>
      <c r="G27" s="7"/>
      <c r="H27" s="7"/>
      <c r="I27" s="7"/>
    </row>
    <row r="28" spans="2:9" s="10" ht="15">
      <c r="B28" s="7" t="s">
        <v>17</v>
      </c>
      <c r="C28" s="7" t="s">
        <v>23</v>
      </c>
      <c r="D28" s="7">
        <f>TR(C5,"TR.HealthSafetyTraining","#1 curn=#2 Scale=2 ch:fd transpose:y NULL=BLANK",,C13,C12)</f>
        <v>0</v>
      </c>
      <c r="E28" s="7"/>
      <c r="F28" s="7"/>
      <c r="G28" s="7"/>
      <c r="H28" s="7"/>
      <c r="I28" s="7"/>
    </row>
    <row r="29" spans="2:9" s="10" ht="15">
      <c r="B29" s="7" t="s">
        <v>17</v>
      </c>
      <c r="C29" s="7" t="s">
        <v>23</v>
      </c>
      <c r="D29" s="7">
        <f>TR(C5,"TR.SupplyChainHSTraining","#1 curn=#2 Scale=2 ch:fd transpose:y NULL=BLANK",,C13,C12)</f>
        <v>0</v>
      </c>
      <c r="E29" s="7"/>
      <c r="F29" s="7"/>
      <c r="G29" s="7"/>
      <c r="H29" s="7"/>
      <c r="I29" s="7"/>
    </row>
    <row r="30" spans="2:9" s="10" ht="15">
      <c r="B30" s="7" t="s">
        <v>17</v>
      </c>
      <c r="C30" s="7" t="s">
        <v>23</v>
      </c>
      <c r="D30" s="7">
        <f>TR(C5,"TR.SupplyChainHSImprovements","#1 curn=#2 Scale=2 ch:fd transpose:y NULL=BLANK",,C13,C12)</f>
        <v>0</v>
      </c>
      <c r="E30" s="7"/>
      <c r="F30" s="7"/>
      <c r="G30" s="7"/>
      <c r="H30" s="7"/>
      <c r="I30" s="7"/>
    </row>
    <row r="31" spans="2:9" s="10" ht="15">
      <c r="B31" s="7" t="s">
        <v>19</v>
      </c>
      <c r="C31" s="7" t="s">
        <v>23</v>
      </c>
      <c r="D31" s="7">
        <f>TR(C5,"TR.OHSAS18001","#1 curn=#2 Scale=2 ch:fd transpose:y NULL=BLANK",,C13,C12)</f>
        <v>0</v>
      </c>
      <c r="E31" s="7"/>
      <c r="F31" s="7"/>
      <c r="G31" s="7"/>
      <c r="H31" s="7"/>
      <c r="I31" s="7"/>
    </row>
    <row r="32" spans="2:9" s="10" ht="15">
      <c r="B32" s="7" t="s">
        <v>17</v>
      </c>
      <c r="C32" s="7" t="s">
        <v>23</v>
      </c>
      <c r="D32" s="7">
        <f>TR(C5,"TR.HSMSCertifiedPercent","#1 curn=#2 Scale=2 ch:fd transpose:y NULL=BLANK",,C13,C12)</f>
        <v>0</v>
      </c>
      <c r="E32" s="7"/>
      <c r="F32" s="7"/>
      <c r="G32" s="7"/>
      <c r="H32" s="7"/>
      <c r="I32" s="7"/>
    </row>
    <row r="33" spans="2:9" s="10" ht="15">
      <c r="B33" s="7" t="s">
        <v>19</v>
      </c>
      <c r="C33" s="7" t="s">
        <v>23</v>
      </c>
      <c r="D33" s="7">
        <f>TR(C5,"TR.EmployeeSatisfaction","#1 curn=#2 Scale=2 ch:fd transpose:y NULL=BLANK",,C13,C12)</f>
        <v>0</v>
      </c>
      <c r="E33" s="7"/>
      <c r="F33" s="7"/>
      <c r="G33" s="7"/>
      <c r="H33" s="7"/>
      <c r="I33" s="7"/>
    </row>
    <row r="34" spans="2:9" s="10" ht="15">
      <c r="B34" s="7" t="s">
        <v>19</v>
      </c>
      <c r="C34" s="7" t="s">
        <v>23</v>
      </c>
      <c r="D34" s="7">
        <f>TR(C5,"TR.AnalyticSalaryGap","#1 curn=#2 Scale=2 ch:fd transpose:y NULL=BLANK",,C13,C12)</f>
        <v>0</v>
      </c>
      <c r="E34" s="7"/>
      <c r="F34" s="7"/>
      <c r="G34" s="7"/>
      <c r="H34" s="7"/>
      <c r="I34" s="7"/>
    </row>
    <row r="35" spans="2:9" s="10" ht="15">
      <c r="B35" s="7" t="s">
        <v>17</v>
      </c>
      <c r="C35" s="7" t="s">
        <v>23</v>
      </c>
      <c r="D35" s="7">
        <f>TR(C5,"TR.SalariesCSRreporting","#1 curn=#2 Scale=2 ch:fd transpose:y NULL=BLANK",,C13,C12)</f>
        <v>0</v>
      </c>
      <c r="E35" s="7"/>
      <c r="F35" s="7"/>
      <c r="G35" s="7"/>
      <c r="H35" s="7"/>
      <c r="I35" s="7"/>
    </row>
    <row r="36" spans="2:9" s="10" ht="15">
      <c r="B36" s="7" t="s">
        <v>19</v>
      </c>
      <c r="C36" s="7" t="s">
        <v>23</v>
      </c>
      <c r="D36" s="7">
        <f>TR(C5,"TR.AnalyticEmploymentCreation","#1 curn=#2 Scale=2 ch:fd transpose:y NULL=BLANK",,C13,C12)</f>
        <v>0</v>
      </c>
      <c r="E36" s="7"/>
      <c r="F36" s="7"/>
      <c r="G36" s="7"/>
      <c r="H36" s="7"/>
      <c r="I36" s="7"/>
    </row>
    <row r="37" spans="2:9" s="10" ht="15">
      <c r="B37" s="7" t="s">
        <v>17</v>
      </c>
      <c r="C37" s="7" t="s">
        <v>23</v>
      </c>
      <c r="D37" s="7">
        <f>TR(C5,"TR.EmployeesCSRreporting","#1 curn=#2 Scale=2 ch:fd transpose:y NULL=BLANK",,C13,C12)</f>
        <v>0</v>
      </c>
      <c r="E37" s="7"/>
      <c r="F37" s="7"/>
      <c r="G37" s="7"/>
      <c r="H37" s="7"/>
      <c r="I37" s="7"/>
    </row>
    <row r="38" spans="2:9" s="10" ht="15">
      <c r="B38" s="7" t="s">
        <v>19</v>
      </c>
      <c r="C38" s="7" t="s">
        <v>23</v>
      </c>
      <c r="D38" s="7">
        <f>TR(C5,"TR.TradeUnionRep","#1 curn=#2 Scale=2 ch:fd transpose:y NULL=BLANK",,C13,C12)</f>
        <v>0</v>
      </c>
      <c r="E38" s="7"/>
      <c r="F38" s="7"/>
      <c r="G38" s="7"/>
      <c r="H38" s="7"/>
      <c r="I38" s="7"/>
    </row>
    <row r="39" spans="2:9" s="10" ht="15">
      <c r="B39" s="7" t="s">
        <v>17</v>
      </c>
      <c r="C39" s="7" t="s">
        <v>23</v>
      </c>
      <c r="D39" s="7">
        <f>TR(C5,"TR.AverageEmployeeLengthService","#1 curn=#2 Scale=2 ch:fd transpose:y NULL=BLANK",,C13,C12)</f>
        <v>0</v>
      </c>
      <c r="E39" s="7"/>
      <c r="F39" s="7"/>
      <c r="G39" s="7"/>
      <c r="H39" s="7"/>
      <c r="I39" s="7"/>
    </row>
    <row r="40" spans="2:9" s="10" ht="15">
      <c r="B40" s="7" t="s">
        <v>19</v>
      </c>
      <c r="C40" s="7" t="s">
        <v>23</v>
      </c>
      <c r="D40" s="7">
        <f>TR(C5,"TR.TurnoverEmployees","#1 curn=#2 Scale=2 ch:fd transpose:y NULL=BLANK",,C13,C12)</f>
        <v>0</v>
      </c>
      <c r="E40" s="7"/>
      <c r="F40" s="7"/>
      <c r="G40" s="7"/>
      <c r="H40" s="7"/>
      <c r="I40" s="7"/>
    </row>
    <row r="41" spans="2:9" s="10" ht="15">
      <c r="B41" s="7" t="s">
        <v>17</v>
      </c>
      <c r="C41" s="7" t="s">
        <v>23</v>
      </c>
      <c r="D41" s="7">
        <f>TR(C5,"TR.VoluntaryTurnoverEmployees","#1 curn=#2 Scale=2 ch:fd transpose:y NULL=BLANK",,C13,C12)</f>
        <v>0</v>
      </c>
      <c r="E41" s="7"/>
      <c r="F41" s="7"/>
      <c r="G41" s="7"/>
      <c r="H41" s="7"/>
      <c r="I41" s="7"/>
    </row>
    <row r="42" spans="2:9" s="10" ht="15">
      <c r="B42" s="7" t="s">
        <v>17</v>
      </c>
      <c r="C42" s="7" t="s">
        <v>23</v>
      </c>
      <c r="D42" s="7">
        <f>TR(C5,"TR.InvoluntaryTurnoverEmployees","#1 curn=#2 Scale=2 ch:fd transpose:y NULL=BLANK",,C13,C12)</f>
        <v>0</v>
      </c>
      <c r="E42" s="7"/>
      <c r="F42" s="7"/>
      <c r="G42" s="7"/>
      <c r="H42" s="7"/>
      <c r="I42" s="7"/>
    </row>
    <row r="43" spans="2:9" s="10" ht="15">
      <c r="B43" s="7" t="s">
        <v>19</v>
      </c>
      <c r="C43" s="7" t="s">
        <v>23</v>
      </c>
      <c r="D43" s="7">
        <f>TR(C5,"TR.AnalyticLayoffs","#1 curn=#2 Scale=2 ch:fd transpose:y NULL=BLANK",,C13,C12)</f>
        <v>0</v>
      </c>
      <c r="E43" s="7"/>
      <c r="F43" s="7"/>
      <c r="G43" s="7"/>
      <c r="H43" s="7"/>
      <c r="I43" s="7"/>
    </row>
    <row r="44" spans="2:9" s="10" ht="15">
      <c r="B44" s="7" t="s">
        <v>17</v>
      </c>
      <c r="C44" s="7" t="s">
        <v>23</v>
      </c>
      <c r="D44" s="7">
        <f>TR(C5,"TR.AnnouncedLayoffs","#1 curn=#2 Scale=2 ch:fd transpose:y NULL=BLANK",,C13,C12)</f>
        <v>0</v>
      </c>
      <c r="E44" s="7"/>
      <c r="F44" s="7"/>
      <c r="G44" s="7"/>
      <c r="H44" s="7"/>
      <c r="I44" s="7"/>
    </row>
    <row r="45" spans="2:9" s="10" ht="15">
      <c r="B45" s="7" t="s">
        <v>19</v>
      </c>
      <c r="C45" s="7" t="s">
        <v>23</v>
      </c>
      <c r="D45" s="7">
        <f>TR(C5,"TR.GenderPayGapPctage","#1 curn=#2 Scale=2 ch:fd transpose:y NULL=BLANK",,C13,C12)</f>
        <v>0</v>
      </c>
      <c r="E45" s="7"/>
      <c r="F45" s="7"/>
      <c r="G45" s="7"/>
      <c r="H45" s="7"/>
      <c r="I45" s="7"/>
    </row>
    <row r="46" spans="2:9" s="10" ht="15">
      <c r="B46" s="7" t="s">
        <v>19</v>
      </c>
      <c r="C46" s="7" t="s">
        <v>23</v>
      </c>
      <c r="D46" s="7">
        <f>TR(C5,"TR.WomenEmployees","#1 curn=#2 Scale=2 ch:fd transpose:y NULL=BLANK",,C13,C12)</f>
        <v>0</v>
      </c>
      <c r="E46" s="7"/>
      <c r="F46" s="7"/>
      <c r="G46" s="7"/>
      <c r="H46" s="7"/>
      <c r="I46" s="7"/>
    </row>
    <row r="47" spans="2:9" s="10" ht="15">
      <c r="B47" s="7" t="s">
        <v>17</v>
      </c>
      <c r="C47" s="7" t="s">
        <v>23</v>
      </c>
      <c r="D47" s="7">
        <f>TR(C5,"TR.NewWomenEmployees","#1 curn=#2 Scale=2 ch:fd transpose:y NULL=BLANK",,C13,C12)</f>
        <v>0</v>
      </c>
      <c r="E47" s="7"/>
      <c r="F47" s="7"/>
      <c r="G47" s="7"/>
      <c r="H47" s="7"/>
      <c r="I47" s="7"/>
    </row>
    <row r="48" spans="2:9" s="10" ht="15">
      <c r="B48" s="7" t="s">
        <v>19</v>
      </c>
      <c r="C48" s="7" t="s">
        <v>23</v>
      </c>
      <c r="D48" s="7">
        <f>TR(C5,"TR.WomenManagers","#1 curn=#2 Scale=2 ch:fd transpose:y NULL=BLANK",,C13,C12)</f>
        <v>0</v>
      </c>
      <c r="E48" s="7"/>
      <c r="F48" s="7"/>
      <c r="G48" s="7"/>
      <c r="H48" s="7"/>
      <c r="I48" s="7"/>
    </row>
    <row r="49" spans="2:9" s="10" ht="15">
      <c r="B49" s="7" t="s">
        <v>19</v>
      </c>
      <c r="C49" s="7" t="s">
        <v>23</v>
      </c>
      <c r="D49" s="7">
        <f>TR(C5,"TR.USLGBTEqualityIndex","#1 curn=#2 Scale=2 ch:fd transpose:y NULL=BLANK",,C13,C12)</f>
        <v>0</v>
      </c>
      <c r="E49" s="7"/>
      <c r="F49" s="7"/>
      <c r="G49" s="7"/>
      <c r="H49" s="7"/>
      <c r="I49" s="7"/>
    </row>
    <row r="50" spans="2:9" s="10" ht="15">
      <c r="B50" s="7" t="s">
        <v>19</v>
      </c>
      <c r="C50" s="7" t="s">
        <v>23</v>
      </c>
      <c r="D50" s="7">
        <f>TR(C5,"TR.FlexibleWorkingHours","#1 curn=#2 Scale=2 ch:fd transpose:y NULL=BLANK",,C13,C12)</f>
        <v>0</v>
      </c>
      <c r="E50" s="7"/>
      <c r="F50" s="7"/>
      <c r="G50" s="7"/>
      <c r="H50" s="7"/>
      <c r="I50" s="7"/>
    </row>
    <row r="51" spans="2:9" s="10" ht="15">
      <c r="B51" s="7" t="s">
        <v>19</v>
      </c>
      <c r="C51" s="7" t="s">
        <v>23</v>
      </c>
      <c r="D51" s="7">
        <f>TR(C5,"TR.DayCareServices","#1 curn=#2 Scale=2 ch:fd transpose:y NULL=BLANK",,C13,C12)</f>
        <v>0</v>
      </c>
      <c r="E51" s="7"/>
      <c r="F51" s="7"/>
      <c r="G51" s="7"/>
      <c r="H51" s="7"/>
      <c r="I51" s="7"/>
    </row>
    <row r="52" spans="2:9" s="10" ht="15">
      <c r="B52" s="7" t="s">
        <v>19</v>
      </c>
      <c r="C52" s="7" t="s">
        <v>23</v>
      </c>
      <c r="D52" s="7">
        <f>TR(C5,"TR.EmployeesWithDisabilities","#1 curn=#2 Scale=2 ch:fd transpose:y NULL=BLANK",,C13,C12)</f>
        <v>0</v>
      </c>
      <c r="E52" s="7"/>
      <c r="F52" s="7"/>
      <c r="G52" s="7"/>
      <c r="H52" s="7"/>
      <c r="I52" s="7"/>
    </row>
    <row r="53" spans="2:9" s="10" ht="15">
      <c r="B53" s="7" t="s">
        <v>17</v>
      </c>
      <c r="C53" s="7" t="s">
        <v>23</v>
      </c>
      <c r="D53" s="7">
        <f>TR(C5,"TR.EmployeeHSTrainingHours","#1 curn=#2 Scale=2 ch:fd transpose:y NULL=BLANK",,C13,C12)</f>
        <v>0</v>
      </c>
      <c r="E53" s="7"/>
      <c r="F53" s="7"/>
      <c r="G53" s="7"/>
      <c r="H53" s="7"/>
      <c r="I53" s="7"/>
    </row>
    <row r="54" spans="2:9" s="10" ht="15">
      <c r="B54" s="7" t="s">
        <v>19</v>
      </c>
      <c r="C54" s="7" t="s">
        <v>23</v>
      </c>
      <c r="D54" s="7">
        <f>TR(C5,"TR.AnalyticInjuries","#1 curn=#2 Scale=2 ch:fd transpose:y NULL=BLANK",,C13,C12)</f>
        <v>0</v>
      </c>
      <c r="E54" s="7"/>
      <c r="F54" s="7"/>
      <c r="G54" s="7"/>
      <c r="H54" s="7"/>
      <c r="I54" s="7"/>
    </row>
    <row r="55" spans="2:9" s="10" ht="15">
      <c r="B55" s="7" t="s">
        <v>17</v>
      </c>
      <c r="C55" s="7" t="s">
        <v>23</v>
      </c>
      <c r="D55" s="7">
        <f>TR(C5,"TR.TIRTotal","#1 curn=#2 Scale=2 ch:fd transpose:y NULL=BLANK",,C13,C12)</f>
        <v>0</v>
      </c>
      <c r="E55" s="7"/>
      <c r="F55" s="7"/>
      <c r="G55" s="7"/>
      <c r="H55" s="7"/>
      <c r="I55" s="7"/>
    </row>
    <row r="56" spans="2:9" s="10" ht="15">
      <c r="B56" s="7" t="s">
        <v>17</v>
      </c>
      <c r="C56" s="7" t="s">
        <v>23</v>
      </c>
      <c r="D56" s="7">
        <f>TR(C5,"TR.TIRContractors","#1 curn=#2 Scale=2 ch:fd transpose:y NULL=BLANK",,C13,C12)</f>
        <v>0</v>
      </c>
      <c r="E56" s="7"/>
      <c r="F56" s="7"/>
      <c r="G56" s="7"/>
      <c r="H56" s="7"/>
      <c r="I56" s="7"/>
    </row>
    <row r="57" spans="2:9" s="10" ht="15">
      <c r="B57" s="7" t="s">
        <v>17</v>
      </c>
      <c r="C57" s="7" t="s">
        <v>23</v>
      </c>
      <c r="D57" s="7">
        <f>TR(C5,"TR.TIREmployees","#1 curn=#2 Scale=2 ch:fd transpose:y NULL=BLANK",,C13,C12)</f>
        <v>0</v>
      </c>
      <c r="E57" s="7"/>
      <c r="F57" s="7"/>
      <c r="G57" s="7"/>
      <c r="H57" s="7"/>
      <c r="I57" s="7"/>
    </row>
    <row r="58" spans="2:9" s="10" ht="15">
      <c r="B58" s="7" t="s">
        <v>17</v>
      </c>
      <c r="C58" s="7" t="s">
        <v>23</v>
      </c>
      <c r="D58" s="7">
        <f>TR(C5,"TR.AccidentsTotal","#1 curn=#2 Scale=2 ch:fd transpose:y NULL=BLANK",,C13,C12)</f>
        <v>0</v>
      </c>
      <c r="E58" s="7"/>
      <c r="F58" s="7"/>
      <c r="G58" s="7"/>
      <c r="H58" s="7"/>
      <c r="I58" s="7"/>
    </row>
    <row r="59" spans="2:9" s="10" ht="15">
      <c r="B59" s="7" t="s">
        <v>17</v>
      </c>
      <c r="C59" s="7" t="s">
        <v>23</v>
      </c>
      <c r="D59" s="7">
        <f>TR(C5,"TR.ContractorAccidents","#1 curn=#2 Scale=2 ch:fd transpose:y NULL=BLANK",,C13,C12)</f>
        <v>0</v>
      </c>
      <c r="E59" s="7"/>
      <c r="F59" s="7"/>
      <c r="G59" s="7"/>
      <c r="H59" s="7"/>
      <c r="I59" s="7"/>
    </row>
    <row r="60" spans="2:9" s="10" ht="15">
      <c r="B60" s="7" t="s">
        <v>17</v>
      </c>
      <c r="C60" s="7" t="s">
        <v>23</v>
      </c>
      <c r="D60" s="7">
        <f>TR(C5,"TR.EmployeeAccidents","#1 curn=#2 Scale=2 ch:fd transpose:y NULL=BLANK",,C13,C12)</f>
        <v>0</v>
      </c>
      <c r="E60" s="7"/>
      <c r="F60" s="7"/>
      <c r="G60" s="7"/>
      <c r="H60" s="7"/>
      <c r="I60" s="7"/>
    </row>
    <row r="61" spans="2:9" s="10" ht="15">
      <c r="B61" s="7" t="s">
        <v>17</v>
      </c>
      <c r="C61" s="7" t="s">
        <v>23</v>
      </c>
      <c r="D61" s="7">
        <f>TR(C5,"TR.OccupationalDiseases","#1 curn=#2 Scale=2 ch:fd transpose:y NULL=BLANK",,C13,C12)</f>
        <v>0</v>
      </c>
      <c r="E61" s="7"/>
      <c r="F61" s="7"/>
      <c r="G61" s="7"/>
      <c r="H61" s="7"/>
      <c r="I61" s="7"/>
    </row>
    <row r="62" spans="2:9" s="10" ht="15">
      <c r="B62" s="7" t="s">
        <v>17</v>
      </c>
      <c r="C62" s="7" t="s">
        <v>23</v>
      </c>
      <c r="D62" s="7">
        <f>TR(C5,"TR.EmployeeFatalities","#1 curn=#2 Scale=2 ch:fd transpose:y NULL=BLANK",,C13,C12)</f>
        <v>0</v>
      </c>
      <c r="E62" s="7"/>
      <c r="F62" s="7"/>
      <c r="G62" s="7"/>
      <c r="H62" s="7"/>
      <c r="I62" s="7"/>
    </row>
    <row r="63" spans="2:9" s="10" ht="15">
      <c r="B63" s="7" t="s">
        <v>17</v>
      </c>
      <c r="C63" s="7" t="s">
        <v>23</v>
      </c>
      <c r="D63" s="7">
        <f>TR(C5,"TR.ContractorFatalities","#1 curn=#2 Scale=2 ch:fd transpose:y NULL=BLANK",,C13,C12)</f>
        <v>0</v>
      </c>
      <c r="E63" s="7"/>
      <c r="F63" s="7"/>
      <c r="G63" s="7"/>
      <c r="H63" s="7"/>
      <c r="I63" s="7"/>
    </row>
    <row r="64" spans="2:9" s="10" ht="15">
      <c r="B64" s="7" t="s">
        <v>19</v>
      </c>
      <c r="C64" s="7" t="s">
        <v>23</v>
      </c>
      <c r="D64" s="7">
        <f>TR(C5,"TR.AnalyticLostDays","#1 curn=#2 Scale=2 ch:fd transpose:y NULL=BLANK",,C13,C12)</f>
        <v>0</v>
      </c>
      <c r="E64" s="7"/>
      <c r="F64" s="7"/>
      <c r="G64" s="7"/>
      <c r="H64" s="7"/>
      <c r="I64" s="7"/>
    </row>
    <row r="65" spans="2:9" s="10" ht="15">
      <c r="B65" s="7" t="s">
        <v>17</v>
      </c>
      <c r="C65" s="7" t="s">
        <v>23</v>
      </c>
      <c r="D65" s="7">
        <f>TR(C5,"TR.LTIRTotal","#1 curn=#2 Scale=2 ch:fd transpose:y NULL=BLANK",,C13,C12)</f>
        <v>0</v>
      </c>
      <c r="E65" s="7"/>
      <c r="F65" s="7"/>
      <c r="G65" s="7"/>
      <c r="H65" s="7"/>
      <c r="I65" s="7"/>
    </row>
    <row r="66" spans="2:9" s="10" ht="15">
      <c r="B66" s="7" t="s">
        <v>17</v>
      </c>
      <c r="C66" s="7" t="s">
        <v>23</v>
      </c>
      <c r="D66" s="7">
        <f>TR(C5,"TR.LTIRContractors","#1 curn=#2 Scale=2 ch:fd transpose:y NULL=BLANK",,C13,C12)</f>
        <v>0</v>
      </c>
      <c r="E66" s="7"/>
      <c r="F66" s="7"/>
      <c r="G66" s="7"/>
      <c r="H66" s="7"/>
      <c r="I66" s="7"/>
    </row>
    <row r="67" spans="2:9" s="10" ht="15">
      <c r="B67" s="7" t="s">
        <v>17</v>
      </c>
      <c r="C67" s="7" t="s">
        <v>23</v>
      </c>
      <c r="D67" s="7">
        <f>TR(C5,"TR.LTIREmployees","#1 curn=#2 Scale=2 ch:fd transpose:y NULL=BLANK",,C13,C12)</f>
        <v>0</v>
      </c>
      <c r="E67" s="7"/>
      <c r="F67" s="7"/>
      <c r="G67" s="7"/>
      <c r="H67" s="7"/>
      <c r="I67" s="7"/>
    </row>
    <row r="68" spans="2:9" s="10" ht="15">
      <c r="B68" s="7" t="s">
        <v>17</v>
      </c>
      <c r="C68" s="7" t="s">
        <v>23</v>
      </c>
      <c r="D68" s="7">
        <f>TR(C5,"TR.LostWorkingDays","#1 curn=#2 Scale=2 ch:fd transpose:y NULL=BLANK",,C13,C12)</f>
        <v>0</v>
      </c>
      <c r="E68" s="7"/>
      <c r="F68" s="7"/>
      <c r="G68" s="7"/>
      <c r="H68" s="7"/>
      <c r="I68" s="7"/>
    </row>
    <row r="69" spans="2:9" s="10" ht="15">
      <c r="B69" s="7" t="s">
        <v>17</v>
      </c>
      <c r="C69" s="7" t="s">
        <v>23</v>
      </c>
      <c r="D69" s="7">
        <f>TR(C5,"TR.EmployeeLostWorkingDays","#1 curn=#2 Scale=2 ch:fd transpose:y NULL=BLANK",,C13,C12)</f>
        <v>0</v>
      </c>
      <c r="E69" s="7"/>
      <c r="F69" s="7"/>
      <c r="G69" s="7"/>
      <c r="H69" s="7"/>
      <c r="I69" s="7"/>
    </row>
    <row r="70" spans="2:9" s="10" ht="15">
      <c r="B70" s="7" t="s">
        <v>17</v>
      </c>
      <c r="C70" s="7" t="s">
        <v>23</v>
      </c>
      <c r="D70" s="7">
        <f>TR(C5,"TR.ContractorLostworkingDays","#1 curn=#2 Scale=2 ch:fd transpose:y NULL=BLANK",,C13,C12)</f>
        <v>0</v>
      </c>
      <c r="E70" s="7"/>
      <c r="F70" s="7"/>
      <c r="G70" s="7"/>
      <c r="H70" s="7"/>
      <c r="I70" s="7"/>
    </row>
    <row r="71" spans="2:9" s="10" ht="15">
      <c r="B71" s="7" t="s">
        <v>17</v>
      </c>
      <c r="C71" s="7" t="s">
        <v>23</v>
      </c>
      <c r="D71" s="7">
        <f>TR(C5,"TR.HIVAIDSProgram","#1 curn=#2 Scale=2 ch:fd transpose:y NULL=BLANK",,C13,C12)</f>
        <v>0</v>
      </c>
      <c r="E71" s="7"/>
      <c r="F71" s="7"/>
      <c r="G71" s="7"/>
      <c r="H71" s="7"/>
      <c r="I71" s="7"/>
    </row>
    <row r="72" spans="2:9" s="10" ht="15">
      <c r="B72" s="7" t="s">
        <v>19</v>
      </c>
      <c r="C72" s="7" t="s">
        <v>23</v>
      </c>
      <c r="D72" s="7">
        <f>TR(C5,"TR.AvgTrainingHours","#1 curn=#2 Scale=2 ch:fd transpose:y NULL=BLANK",,C13,C12)</f>
        <v>0</v>
      </c>
      <c r="E72" s="7"/>
      <c r="F72" s="7"/>
      <c r="G72" s="7"/>
      <c r="H72" s="7"/>
      <c r="I72" s="7"/>
    </row>
    <row r="73" spans="2:9" s="10" ht="15">
      <c r="B73" s="7" t="s">
        <v>17</v>
      </c>
      <c r="C73" s="7" t="s">
        <v>23</v>
      </c>
      <c r="D73" s="7">
        <f>TR(C5,"TR.TrainingHoursTotal","#1 curn=#2 Scale=2 ch:fd transpose:y NULL=BLANK",,C13,C12)</f>
        <v>0</v>
      </c>
      <c r="E73" s="7"/>
      <c r="F73" s="7"/>
      <c r="G73" s="7"/>
      <c r="H73" s="7"/>
      <c r="I73" s="7"/>
    </row>
    <row r="74" spans="2:9" s="10" ht="15">
      <c r="B74" s="7" t="s">
        <v>17</v>
      </c>
      <c r="C74" s="7" t="s">
        <v>23</v>
      </c>
      <c r="D74" s="7">
        <f>TR(C5,"TR.TrainingCostsTotal","#1 curn=#2 Scale=2 ch:fd transpose:y NULL=BLANK",,C13,C12)</f>
        <v>0</v>
      </c>
      <c r="E74" s="7"/>
      <c r="F74" s="7"/>
      <c r="G74" s="7"/>
      <c r="H74" s="7"/>
      <c r="I74" s="7"/>
    </row>
    <row r="75" spans="2:9" s="10" ht="15">
      <c r="B75" s="7" t="s">
        <v>19</v>
      </c>
      <c r="C75" s="7" t="s">
        <v>23</v>
      </c>
      <c r="D75" s="7">
        <f>TR(C5,"TR.AnalyticTrainingCosts","#1 curn=#2 Scale=2 ch:fd transpose:y NULL=BLANK",,C13,C12)</f>
        <v>0</v>
      </c>
      <c r="E75" s="7"/>
      <c r="F75" s="7"/>
      <c r="G75" s="7"/>
      <c r="H75" s="7"/>
      <c r="I75" s="7"/>
    </row>
    <row r="76" spans="2:9" s="10" ht="15">
      <c r="B76" s="7" t="s">
        <v>19</v>
      </c>
      <c r="C76" s="7" t="s">
        <v>23</v>
      </c>
      <c r="D76" s="7">
        <f>TR(C5,"TR.InternalPromotion","#1 curn=#2 Scale=2 ch:fd transpose:y NULL=BLANK",,C13,C12)</f>
        <v>0</v>
      </c>
      <c r="E76" s="7"/>
      <c r="F76" s="7"/>
      <c r="G76" s="7"/>
      <c r="H76" s="7"/>
      <c r="I76" s="7"/>
    </row>
    <row r="77" spans="2:9" s="10" ht="15">
      <c r="B77" s="7" t="s">
        <v>17</v>
      </c>
      <c r="C77" s="7" t="s">
        <v>23</v>
      </c>
      <c r="D77" s="7">
        <f>TR(C5,"TR.MgtTraining","#1 curn=#2 Scale=2 ch:fd transpose:y NULL=BLANK",,C13,C12)</f>
        <v>0</v>
      </c>
      <c r="E77" s="7"/>
      <c r="F77" s="7"/>
      <c r="G77" s="7"/>
      <c r="H77" s="7"/>
      <c r="I77" s="7"/>
    </row>
    <row r="78" spans="2:9" s="10" ht="15">
      <c r="B78" s="7" t="s">
        <v>19</v>
      </c>
      <c r="C78" s="7" t="s">
        <v>23</v>
      </c>
      <c r="D78" s="7">
        <f>TR(C5,"TR.SupplierEsgTraining","#1 curn=#2 Scale=2 ch:fd transpose:y NULL=BLANK",,C13,C12)</f>
        <v>0</v>
      </c>
      <c r="E78" s="7"/>
      <c r="F78" s="7"/>
      <c r="G78" s="7"/>
      <c r="H78" s="7"/>
      <c r="I78" s="7"/>
    </row>
    <row r="79" spans="2:9" s="10" ht="15">
      <c r="B79" s="7" t="s">
        <v>19</v>
      </c>
      <c r="C79" s="7" t="s">
        <v>23</v>
      </c>
      <c r="D79" s="7">
        <f>TR(C5,"TR.EmployeeResourceGroups","#1 curn=#2 Scale=2 ch:fd transpose:y NULL=BLANK",,C13,C12)</f>
        <v>0</v>
      </c>
      <c r="E79" s="7"/>
      <c r="F79" s="7"/>
      <c r="G79" s="7"/>
      <c r="H79" s="7"/>
      <c r="I79" s="7"/>
    </row>
    <row r="80" spans="2:9" s="10" ht="15">
      <c r="B80" s="7" t="s">
        <v>17</v>
      </c>
      <c r="C80" s="7" t="s">
        <v>23</v>
      </c>
      <c r="D80" s="7">
        <f>TR(C5,"TR.BBBEELevel","#1 curn=#2 Scale=2 ch:fd transpose:y NULL=BLANK",,C13,C12)</f>
        <v>0</v>
      </c>
      <c r="E80" s="7"/>
      <c r="F80" s="7"/>
      <c r="G80" s="7"/>
      <c r="H80" s="7"/>
      <c r="I80" s="7"/>
    </row>
    <row r="81" spans="2:9" s="10" ht="15">
      <c r="B81" s="7" t="s">
        <v>17</v>
      </c>
      <c r="C81" s="7" t="s">
        <v>23</v>
      </c>
      <c r="D81" s="7">
        <f>TR(C5,"TR.MinoritiesEmployeesPercentage","#1 curn=#2 Scale=2 ch:fd transpose:y NULL=BLANK",,C13,C12)</f>
        <v>0</v>
      </c>
      <c r="E81" s="7"/>
      <c r="F81" s="7"/>
      <c r="G81" s="7"/>
      <c r="H81" s="7"/>
      <c r="I81" s="7"/>
    </row>
    <row r="82" spans="2:9" s="10" ht="15">
      <c r="B82" s="7" t="s">
        <v>17</v>
      </c>
      <c r="C82" s="7" t="s">
        <v>23</v>
      </c>
      <c r="D82" s="7">
        <f>TR(C5,"TR.AsianMinoritiesEmployeesPercentage","#1 curn=#2 Scale=2 ch:fd transpose:y NULL=BLANK",,C13,C12)</f>
        <v>0</v>
      </c>
      <c r="E82" s="7"/>
      <c r="F82" s="7"/>
      <c r="G82" s="7"/>
      <c r="H82" s="7"/>
      <c r="I82" s="7"/>
    </row>
    <row r="83" spans="2:9" s="10" ht="15">
      <c r="B83" s="7" t="s">
        <v>17</v>
      </c>
      <c r="C83" s="7" t="s">
        <v>23</v>
      </c>
      <c r="D83" s="7">
        <f>TR(C5,"TR.BlackorAfricanAmericanMinoritiesEmployeesPercentage","#1 curn=#2 Scale=2 ch:fd transpose:y NULL=BLANK",,C13,C12)</f>
        <v>0</v>
      </c>
      <c r="E83" s="7"/>
      <c r="F83" s="7"/>
      <c r="G83" s="7"/>
      <c r="H83" s="7"/>
      <c r="I83" s="7"/>
    </row>
    <row r="84" spans="2:9" s="10" ht="15">
      <c r="B84" s="7" t="s">
        <v>17</v>
      </c>
      <c r="C84" s="7" t="s">
        <v>23</v>
      </c>
      <c r="D84" s="7">
        <f>TR(C5,"TR.HispanicorLatinoMinoritiesEmployeesPercentage","#1 curn=#2 Scale=2 ch:fd transpose:y NULL=BLANK",,C13,C12)</f>
        <v>0</v>
      </c>
      <c r="E84" s="7"/>
      <c r="F84" s="7"/>
      <c r="G84" s="7"/>
      <c r="H84" s="7"/>
      <c r="I84" s="7"/>
    </row>
    <row r="85" spans="2:9" s="10" ht="15">
      <c r="B85" s="7" t="s">
        <v>17</v>
      </c>
      <c r="C85" s="7" t="s">
        <v>23</v>
      </c>
      <c r="D85" s="7">
        <f>TR(C5,"TR.WhiteMinoritiesEmployeesPercentage","#1 curn=#2 Scale=2 ch:fd transpose:y NULL=BLANK",,C13,C12)</f>
        <v>0</v>
      </c>
      <c r="E85" s="7"/>
      <c r="F85" s="7"/>
      <c r="G85" s="7"/>
      <c r="H85" s="7"/>
      <c r="I85" s="7"/>
    </row>
    <row r="86" spans="2:9" s="10" ht="15">
      <c r="B86" s="7" t="s">
        <v>17</v>
      </c>
      <c r="C86" s="7" t="s">
        <v>23</v>
      </c>
      <c r="D86" s="7">
        <f>TR(C5,"TR.OtherMinoritiesEmployeesPercentage","#1 curn=#2 Scale=2 ch:fd transpose:y NULL=BLANK",,C13,C12)</f>
        <v>0</v>
      </c>
      <c r="E86" s="7"/>
      <c r="F86" s="7"/>
      <c r="G86" s="7"/>
      <c r="H86" s="7"/>
      <c r="I86" s="7"/>
    </row>
    <row r="87" spans="2:9" s="10" ht="15">
      <c r="B87" s="7" t="s">
        <v>17</v>
      </c>
      <c r="C87" s="7" t="s">
        <v>23</v>
      </c>
      <c r="D87" s="7">
        <f>TR(C5,"TR.MinoritiesManagersPercentage","#1 curn=#2 Scale=2 ch:fd transpose:y NULL=BLANK",,C13,C12)</f>
        <v>0</v>
      </c>
      <c r="E87" s="7"/>
      <c r="F87" s="7"/>
      <c r="G87" s="7"/>
      <c r="H87" s="7"/>
      <c r="I87" s="7"/>
    </row>
    <row r="88" spans="2:9" s="10" ht="15">
      <c r="B88" s="7" t="s">
        <v>17</v>
      </c>
      <c r="C88" s="7" t="s">
        <v>23</v>
      </c>
      <c r="D88" s="7">
        <f>TR(C5,"TR.AsianMinoritiesManagersPercentage","#1 curn=#2 Scale=2 ch:fd transpose:y NULL=BLANK",,C13,C12)</f>
        <v>0</v>
      </c>
      <c r="E88" s="7"/>
      <c r="F88" s="7"/>
      <c r="G88" s="7"/>
      <c r="H88" s="7"/>
      <c r="I88" s="7"/>
    </row>
    <row r="89" spans="2:9" s="10" ht="15">
      <c r="B89" s="7" t="s">
        <v>17</v>
      </c>
      <c r="C89" s="7" t="s">
        <v>23</v>
      </c>
      <c r="D89" s="7">
        <f>TR(C5,"TR.BlackorAfricanAmericanMinoritiesManagersPercentage","#1 curn=#2 Scale=2 ch:fd transpose:y NULL=BLANK",,C13,C12)</f>
        <v>0</v>
      </c>
      <c r="E89" s="7"/>
      <c r="F89" s="7"/>
      <c r="G89" s="7"/>
      <c r="H89" s="7"/>
      <c r="I89" s="7"/>
    </row>
    <row r="90" spans="2:9" s="10" ht="15">
      <c r="B90" s="7" t="s">
        <v>17</v>
      </c>
      <c r="C90" s="7" t="s">
        <v>23</v>
      </c>
      <c r="D90" s="7">
        <f>TR(C5,"TR.HispanicorLatinoMinoritiesManagersPercentage","#1 curn=#2 Scale=2 ch:fd transpose:y NULL=BLANK",,C13,C12)</f>
        <v>0</v>
      </c>
      <c r="E90" s="7"/>
      <c r="F90" s="7"/>
      <c r="G90" s="7"/>
      <c r="H90" s="7"/>
      <c r="I90" s="7"/>
    </row>
    <row r="91" spans="2:9" s="10" ht="15">
      <c r="B91" s="7" t="s">
        <v>17</v>
      </c>
      <c r="C91" s="7" t="s">
        <v>23</v>
      </c>
      <c r="D91" s="7">
        <f>TR(C5,"TR.WhiteMinoritiesManagersPercentage","#1 curn=#2 Scale=2 ch:fd transpose:y NULL=BLANK",,C13,C12)</f>
        <v>0</v>
      </c>
      <c r="E91" s="7"/>
      <c r="F91" s="7"/>
      <c r="G91" s="7"/>
      <c r="H91" s="7"/>
      <c r="I91" s="7"/>
    </row>
    <row r="92" spans="2:9" s="10" ht="15">
      <c r="B92" s="7" t="s">
        <v>17</v>
      </c>
      <c r="C92" s="7" t="s">
        <v>23</v>
      </c>
      <c r="D92" s="7">
        <f>TR(C5,"TR.OtherMinoritiesManagersPercentage","#1 curn=#2 Scale=2 ch:fd transpose:y NULL=BLANK",,C13,C12)</f>
        <v>0</v>
      </c>
      <c r="E92" s="7"/>
      <c r="F92" s="7"/>
      <c r="G92" s="7"/>
      <c r="H92" s="7"/>
      <c r="I92" s="7"/>
    </row>
    <row r="93" spans="2:9" s="10" ht="15">
      <c r="B93" s="7" t="s">
        <v>17</v>
      </c>
      <c r="C93" s="7" t="s">
        <v>23</v>
      </c>
      <c r="D93" s="7">
        <f>TR(C5,"TR.MinoritiesSalaryGap","#1 curn=#2 Scale=2 ch:fd transpose:y NULL=BLANK",,C13,C12)</f>
        <v>0</v>
      </c>
      <c r="E93" s="7"/>
      <c r="F93" s="7"/>
      <c r="G93" s="7"/>
      <c r="H93" s="7"/>
      <c r="I93" s="7"/>
    </row>
    <row r="94" spans="2:9" s="10" ht="15">
      <c r="B94" s="7" t="s">
        <v>17</v>
      </c>
      <c r="C94" s="7" t="s">
        <v>23</v>
      </c>
      <c r="D94" s="7">
        <f>TR(C5,"TR.NumberofEmployees","#1 curn=#2 Scale=2 ch:fd transpose:y NULL=BLANK",,C13,C12)</f>
        <v>0</v>
      </c>
      <c r="E94" s="7"/>
      <c r="F94" s="7"/>
      <c r="G94" s="7"/>
      <c r="H94" s="7"/>
      <c r="I94" s="7"/>
    </row>
    <row r="95" spans="2:9" s="10" ht="15">
      <c r="B95" s="7" t="s">
        <v>17</v>
      </c>
      <c r="C95" s="7" t="s">
        <v>23</v>
      </c>
      <c r="D95" s="7">
        <f>TR(C5,"TR.PartTimeEmployees","#1 curn=#2 Scale=2 ch:fd transpose:y NULL=BLANK",,C13,C12)</f>
        <v>0</v>
      </c>
      <c r="E95" s="7"/>
      <c r="F95" s="7"/>
      <c r="G95" s="7"/>
      <c r="H95" s="7"/>
      <c r="I95" s="7"/>
    </row>
    <row r="96" spans="2:9" s="10" ht="15">
      <c r="B96" s="7" t="s">
        <v>17</v>
      </c>
      <c r="C96" s="7" t="s">
        <v>23</v>
      </c>
      <c r="D96" s="7">
        <f>TR(C5,"TR.UNGCViolationFlag","#1 curn=#2 Scale=2 ch:fd transpose:y NULL=BLANK",,C13,C12)</f>
        <v>0</v>
      </c>
      <c r="E96" s="7"/>
      <c r="F96" s="7"/>
      <c r="G96" s="7"/>
      <c r="H96" s="7"/>
      <c r="I96" s="7"/>
    </row>
    <row r="97" spans="2:9" s="10" ht="15">
      <c r="B97" s="7" t="s">
        <v>17</v>
      </c>
      <c r="C97" s="7" t="s">
        <v>23</v>
      </c>
      <c r="D97" s="7">
        <f>TR(C5,"TR.EmployeeSafetyInitiativeParticipation","#1 curn=#2 Scale=2 ch:fd transpose:y NULL=BLANK",,C13,C12)</f>
        <v>0</v>
      </c>
      <c r="E97" s="7"/>
      <c r="F97" s="7"/>
      <c r="G97" s="7"/>
      <c r="H97" s="7"/>
      <c r="I97" s="7"/>
    </row>
    <row r="98" spans="2:9" s="10" ht="15">
      <c r="B98" s="7" t="s">
        <v>17</v>
      </c>
      <c r="C98" s="7" t="s">
        <v>23</v>
      </c>
      <c r="D98" s="7">
        <f>TR(C5,"TR.RiskAssessmentHealthandSafety","#1 curn=#2 Scale=2 ch:fd transpose:y NULL=BLANK",,C13,C12)</f>
        <v>0</v>
      </c>
      <c r="E98" s="7"/>
      <c r="F98" s="7"/>
      <c r="G98" s="7"/>
      <c r="H98" s="7"/>
      <c r="I98" s="7"/>
    </row>
    <row r="99" spans="2:9" s="10" ht="15">
      <c r="B99" s="7" t="s">
        <v>17</v>
      </c>
      <c r="C99" s="7" t="s">
        <v>23</v>
      </c>
      <c r="D99" s="7">
        <f>TR(C5,"TR.SafetyPerformanceMonitoring","#1 curn=#2 Scale=2 ch:fd transpose:y NULL=BLANK",,C13,C12)</f>
        <v>0</v>
      </c>
      <c r="E99" s="7"/>
      <c r="F99" s="7"/>
      <c r="G99" s="7"/>
      <c r="H99" s="7"/>
      <c r="I99" s="7"/>
    </row>
    <row r="100" spans="2:9" s="10" ht="15">
      <c r="B100" s="7" t="s">
        <v>17</v>
      </c>
      <c r="C100" s="7" t="s">
        <v>23</v>
      </c>
      <c r="D100" s="7">
        <f>TR(C5,"TR.CommunicationofSupplyChainPolicy","#1 curn=#2 Scale=2 ch:fd transpose:y NULL=BLANK",,C13,C12)</f>
        <v>0</v>
      </c>
      <c r="E100" s="7"/>
      <c r="F100" s="7"/>
      <c r="G100" s="7"/>
      <c r="H100" s="7"/>
      <c r="I100" s="7"/>
    </row>
    <row r="101" spans="2:9" s="10" ht="15">
      <c r="B101" s="7" t="s">
        <v>17</v>
      </c>
      <c r="C101" s="7" t="s">
        <v>23</v>
      </c>
      <c r="D101" s="7">
        <f>TR(C5,"TR.FindingsfromSupplierMonitoring","#1 curn=#2 Scale=2 ch:fd transpose:y NULL=BLANK",,C13,C12)</f>
        <v>0</v>
      </c>
      <c r="E101" s="7"/>
      <c r="F101" s="7"/>
      <c r="G101" s="7"/>
      <c r="H101" s="7"/>
      <c r="I101" s="7"/>
    </row>
    <row r="102" spans="2:9" s="10" ht="15">
      <c r="B102" s="7" t="s">
        <v>17</v>
      </c>
      <c r="C102" s="7" t="s">
        <v>23</v>
      </c>
      <c r="D102" s="7">
        <f>TR(C5,"TR.SocialSupplyChainPolicy","#1 curn=#2 Scale=2 ch:fd transpose:y NULL=BLANK",,C13,C12)</f>
        <v>0</v>
      </c>
      <c r="E102" s="7"/>
      <c r="F102" s="7"/>
      <c r="G102" s="7"/>
      <c r="H102" s="7"/>
      <c r="I102" s="7"/>
    </row>
    <row r="103" spans="2:9" s="10" ht="15">
      <c r="B103" s="7" t="s">
        <v>17</v>
      </c>
      <c r="C103" s="7" t="s">
        <v>23</v>
      </c>
      <c r="D103" s="7">
        <f>TR(C5,"TR.SocialSupplyPolicyIntegration","#1 curn=#2 Scale=2 ch:fd transpose:y NULL=BLANK",,C13,C12)</f>
        <v>0</v>
      </c>
      <c r="E103" s="7"/>
      <c r="F103" s="7"/>
      <c r="G103" s="7"/>
      <c r="H103" s="7"/>
      <c r="I103" s="7"/>
    </row>
    <row r="104" spans="2:9" s="10" ht="15">
      <c r="B104" s="7" t="s">
        <v>17</v>
      </c>
      <c r="C104" s="7" t="s">
        <v>23</v>
      </c>
      <c r="D104" s="7">
        <f>TR(C5,"TR.SocialSupplyRiskAssessment","#1 curn=#2 Scale=2 ch:fd transpose:y NULL=BLANK",,C13,C12)</f>
        <v>0</v>
      </c>
      <c r="E104" s="7"/>
      <c r="F104" s="7"/>
      <c r="G104" s="7"/>
      <c r="H104" s="7"/>
      <c r="I104" s="7"/>
    </row>
    <row r="105" spans="2:9" s="10" ht="15">
      <c r="B105" s="7" t="s">
        <v>17</v>
      </c>
      <c r="C105" s="7" t="s">
        <v>23</v>
      </c>
      <c r="D105" s="7">
        <f>TR(C5,"TR.PolicyLocalSourcing","#1 curn=#2 Scale=2 ch:fd transpose:y NULL=BLANK",,C13,C12)</f>
        <v>0</v>
      </c>
      <c r="E105" s="7"/>
      <c r="F105" s="7"/>
      <c r="G105" s="7"/>
      <c r="H105" s="7"/>
      <c r="I105" s="7"/>
    </row>
    <row r="106" spans="2:9" s="10" ht="15">
      <c r="B106" s="7" t="s">
        <v>17</v>
      </c>
      <c r="C106" s="7" t="s">
        <v>23</v>
      </c>
      <c r="D106" s="7">
        <f>TR(C5,"TR.TemporaryStaffProportion","#1 curn=#2 Scale=2 ch:fd transpose:y NULL=BLANK",,C13,C12)</f>
        <v>0</v>
      </c>
      <c r="E106" s="7"/>
      <c r="F106" s="7"/>
      <c r="G106" s="7"/>
      <c r="H106" s="7"/>
      <c r="I106" s="7"/>
    </row>
    <row r="107" spans="2:9" s="10" ht="15">
      <c r="B107" s="7" t="s">
        <v>17</v>
      </c>
      <c r="C107" s="7" t="s">
        <v>24</v>
      </c>
      <c r="D107" s="7">
        <f>TR(C5,"TR.AnalyticHumanRightsPolicy","#1 curn=#2 Scale=2 ch:fd transpose:y NULL=BLANK",,C13,C12)</f>
        <v>0</v>
      </c>
      <c r="E107" s="7"/>
      <c r="F107" s="7"/>
      <c r="G107" s="7"/>
      <c r="H107" s="7"/>
      <c r="I107" s="7"/>
    </row>
    <row r="108" spans="2:9" s="10" ht="15">
      <c r="B108" s="7" t="s">
        <v>19</v>
      </c>
      <c r="C108" s="7" t="s">
        <v>24</v>
      </c>
      <c r="D108" s="7">
        <f>TR(C5,"TR.PolicyFreedomofAssociation","#1 curn=#2 Scale=2 ch:fd transpose:y NULL=BLANK",,C13,C12)</f>
        <v>0</v>
      </c>
      <c r="E108" s="7"/>
      <c r="F108" s="7"/>
      <c r="G108" s="7"/>
      <c r="H108" s="7"/>
      <c r="I108" s="7"/>
    </row>
    <row r="109" spans="2:9" s="10" ht="15">
      <c r="B109" s="7" t="s">
        <v>19</v>
      </c>
      <c r="C109" s="7" t="s">
        <v>24</v>
      </c>
      <c r="D109" s="7">
        <f>TR(C5,"TR.PolicyChildLabor","#1 curn=#2 Scale=2 ch:fd transpose:y NULL=BLANK",,C13,C12)</f>
        <v>0</v>
      </c>
      <c r="E109" s="7"/>
      <c r="F109" s="7"/>
      <c r="G109" s="7"/>
      <c r="H109" s="7"/>
      <c r="I109" s="7"/>
    </row>
    <row r="110" spans="2:9" s="10" ht="15">
      <c r="B110" s="7" t="s">
        <v>19</v>
      </c>
      <c r="C110" s="7" t="s">
        <v>24</v>
      </c>
      <c r="D110" s="7">
        <f>TR(C5,"TR.PolicyForcedLabor","#1 curn=#2 Scale=2 ch:fd transpose:y NULL=BLANK",,C13,C12)</f>
        <v>0</v>
      </c>
      <c r="E110" s="7"/>
      <c r="F110" s="7"/>
      <c r="G110" s="7"/>
      <c r="H110" s="7"/>
      <c r="I110" s="7"/>
    </row>
    <row r="111" spans="2:9" s="10" ht="15">
      <c r="B111" s="7" t="s">
        <v>19</v>
      </c>
      <c r="C111" s="7" t="s">
        <v>24</v>
      </c>
      <c r="D111" s="7">
        <f>TR(C5,"TR.PolicyHumanRights","#1 curn=#2 Scale=2 ch:fd transpose:y NULL=BLANK",,C13,C12)</f>
        <v>0</v>
      </c>
      <c r="E111" s="7"/>
      <c r="F111" s="7"/>
      <c r="G111" s="7"/>
      <c r="H111" s="7"/>
      <c r="I111" s="7"/>
    </row>
    <row r="112" spans="2:9" s="10" ht="15">
      <c r="B112" s="7" t="s">
        <v>19</v>
      </c>
      <c r="C112" s="7" t="s">
        <v>24</v>
      </c>
      <c r="D112" s="7">
        <f>TR(C5,"TR.ILOFundamentalHumanRights","#1 curn=#2 Scale=2 ch:fd transpose:y NULL=BLANK",,C13,C12)</f>
        <v>0</v>
      </c>
      <c r="E112" s="7"/>
      <c r="F112" s="7"/>
      <c r="G112" s="7"/>
      <c r="H112" s="7"/>
      <c r="I112" s="7"/>
    </row>
    <row r="113" spans="2:9" s="10" ht="15">
      <c r="B113" s="7" t="s">
        <v>19</v>
      </c>
      <c r="C113" s="7" t="s">
        <v>24</v>
      </c>
      <c r="D113" s="7">
        <f>TR(C5,"TR.HumanRightsContractor","#1 curn=#2 Scale=2 ch:fd transpose:y NULL=BLANK",,C13,C12)</f>
        <v>0</v>
      </c>
      <c r="E113" s="7"/>
      <c r="F113" s="7"/>
      <c r="G113" s="7"/>
      <c r="H113" s="7"/>
      <c r="I113" s="7"/>
    </row>
    <row r="114" spans="2:9" s="10" ht="15">
      <c r="B114" s="7" t="s">
        <v>17</v>
      </c>
      <c r="C114" s="7" t="s">
        <v>24</v>
      </c>
      <c r="D114" s="7">
        <f>TR(C5,"TR.ETI","#1 curn=#2 Scale=2 ch:fd transpose:y NULL=BLANK",,C13,C12)</f>
        <v>0</v>
      </c>
      <c r="E114" s="7"/>
      <c r="F114" s="7"/>
      <c r="G114" s="7"/>
      <c r="H114" s="7"/>
      <c r="I114" s="7"/>
    </row>
    <row r="115" spans="2:9" s="10" ht="15">
      <c r="B115" s="7" t="s">
        <v>19</v>
      </c>
      <c r="C115" s="7" t="s">
        <v>24</v>
      </c>
      <c r="D115" s="7">
        <f>TR(C5,"TR.HumanRightsContractorBreaches","#1 curn=#2 Scale=2 ch:fd transpose:y NULL=BLANK",,C13,C12)</f>
        <v>0</v>
      </c>
      <c r="E115" s="7"/>
      <c r="F115" s="7"/>
      <c r="G115" s="7"/>
      <c r="H115" s="7"/>
      <c r="I115" s="7"/>
    </row>
    <row r="116" spans="2:9" s="10" ht="15">
      <c r="B116" s="7" t="s">
        <v>17</v>
      </c>
      <c r="C116" s="7" t="s">
        <v>24</v>
      </c>
      <c r="D116" s="7">
        <f>TR(C5,"TR.CommitmentonHumanRights","#1 curn=#2 Scale=2 ch:fd transpose:y NULL=BLANK",,C13,C12)</f>
        <v>0</v>
      </c>
      <c r="E116" s="7"/>
      <c r="F116" s="7"/>
      <c r="G116" s="7"/>
      <c r="H116" s="7"/>
      <c r="I116" s="7"/>
    </row>
    <row r="117" spans="2:9" s="10" ht="15">
      <c r="B117" s="7" t="s">
        <v>17</v>
      </c>
      <c r="C117" s="7" t="s">
        <v>24</v>
      </c>
      <c r="D117" s="7">
        <f>TR(C5,"TR.CommitmenttoUnGuidingPrinciplesorOECDGuidelines","#1 curn=#2 Scale=2 ch:fd transpose:y NULL=BLANK",,C13,C12)</f>
        <v>0</v>
      </c>
      <c r="E117" s="7"/>
      <c r="F117" s="7"/>
      <c r="G117" s="7"/>
      <c r="H117" s="7"/>
      <c r="I117" s="7"/>
    </row>
    <row r="118" spans="2:9" s="10" ht="15">
      <c r="B118" s="7" t="s">
        <v>17</v>
      </c>
      <c r="C118" s="7" t="s">
        <v>24</v>
      </c>
      <c r="D118" s="7">
        <f>TR(C5,"TR.CommunicationofLabourPolicy","#1 curn=#2 Scale=2 ch:fd transpose:y NULL=BLANK",,C13,C12)</f>
        <v>0</v>
      </c>
      <c r="E118" s="7"/>
      <c r="F118" s="7"/>
      <c r="G118" s="7"/>
      <c r="H118" s="7"/>
      <c r="I118" s="7"/>
    </row>
    <row r="119" spans="2:9" s="10" ht="15">
      <c r="B119" s="7" t="s">
        <v>17</v>
      </c>
      <c r="C119" s="7" t="s">
        <v>24</v>
      </c>
      <c r="D119" s="7">
        <f>TR(C5,"TR.EmbeddingHumanRights","#1 curn=#2 Scale=2 ch:fd transpose:y NULL=BLANK",,C13,C12)</f>
        <v>0</v>
      </c>
      <c r="E119" s="7"/>
      <c r="F119" s="7"/>
      <c r="G119" s="7"/>
      <c r="H119" s="7"/>
      <c r="I119" s="7"/>
    </row>
    <row r="120" spans="2:9" s="10" ht="15">
      <c r="B120" s="7" t="s">
        <v>17</v>
      </c>
      <c r="C120" s="7" t="s">
        <v>24</v>
      </c>
      <c r="D120" s="7">
        <f>TR(C5,"TR.EqualPayforEqualWork","#1 curn=#2 Scale=2 ch:fd transpose:y NULL=BLANK",,C13,C12)</f>
        <v>0</v>
      </c>
      <c r="E120" s="7"/>
      <c r="F120" s="7"/>
      <c r="G120" s="7"/>
      <c r="H120" s="7"/>
      <c r="I120" s="7"/>
    </row>
    <row r="121" spans="2:9" s="10" ht="15">
      <c r="B121" s="7" t="s">
        <v>17</v>
      </c>
      <c r="C121" s="7" t="s">
        <v>24</v>
      </c>
      <c r="D121" s="7">
        <f>TR(C5,"TR.GrievanceMechanismsHumanRights","#1 curn=#2 Scale=2 ch:fd transpose:y NULL=BLANK",,C13,C12)</f>
        <v>0</v>
      </c>
      <c r="E121" s="7"/>
      <c r="F121" s="7"/>
      <c r="G121" s="7"/>
      <c r="H121" s="7"/>
      <c r="I121" s="7"/>
    </row>
    <row r="122" spans="2:9" s="10" ht="15">
      <c r="B122" s="7" t="s">
        <v>17</v>
      </c>
      <c r="C122" s="7" t="s">
        <v>24</v>
      </c>
      <c r="D122" s="7">
        <f>TR(C5,"TR.HumanRightsBoardOversight","#1 curn=#2 Scale=2 ch:fd transpose:y NULL=BLANK",,C13,C12)</f>
        <v>0</v>
      </c>
      <c r="E122" s="7"/>
      <c r="F122" s="7"/>
      <c r="G122" s="7"/>
      <c r="H122" s="7"/>
      <c r="I122" s="7"/>
    </row>
    <row r="123" spans="2:9" s="10" ht="15">
      <c r="B123" s="7" t="s">
        <v>17</v>
      </c>
      <c r="C123" s="7" t="s">
        <v>24</v>
      </c>
      <c r="D123" s="7">
        <f>TR(C5,"TR.HumanRightsIdentification","#1 curn=#2 Scale=2 ch:fd transpose:y NULL=BLANK",,C13,C12)</f>
        <v>0</v>
      </c>
      <c r="E123" s="7"/>
      <c r="F123" s="7"/>
      <c r="G123" s="7"/>
      <c r="H123" s="7"/>
      <c r="I123" s="7"/>
    </row>
    <row r="124" spans="2:9" s="10" ht="15">
      <c r="B124" s="7" t="s">
        <v>17</v>
      </c>
      <c r="C124" s="7" t="s">
        <v>24</v>
      </c>
      <c r="D124" s="7">
        <f>TR(C5,"TR.HumanRightsResponsibility","#1 curn=#2 Scale=2 ch:fd transpose:y NULL=BLANK",,C13,C12)</f>
        <v>0</v>
      </c>
      <c r="E124" s="7"/>
      <c r="F124" s="7"/>
      <c r="G124" s="7"/>
      <c r="H124" s="7"/>
      <c r="I124" s="7"/>
    </row>
    <row r="125" spans="2:9" s="10" ht="15">
      <c r="B125" s="7" t="s">
        <v>17</v>
      </c>
      <c r="C125" s="7" t="s">
        <v>24</v>
      </c>
      <c r="D125" s="7">
        <f>TR(C5,"TR.HumanRightsStakeholderEngagement","#1 curn=#2 Scale=2 ch:fd transpose:y NULL=BLANK",,C13,C12)</f>
        <v>0</v>
      </c>
      <c r="E125" s="7"/>
      <c r="F125" s="7"/>
      <c r="G125" s="7"/>
      <c r="H125" s="7"/>
      <c r="I125" s="7"/>
    </row>
    <row r="126" spans="2:9" s="10" ht="15">
      <c r="B126" s="7" t="s">
        <v>17</v>
      </c>
      <c r="C126" s="7" t="s">
        <v>24</v>
      </c>
      <c r="D126" s="7">
        <f>TR(C5,"TR.ImpactAssessmentHumanRights","#1 curn=#2 Scale=2 ch:fd transpose:y NULL=BLANK",,C13,C12)</f>
        <v>0</v>
      </c>
      <c r="E126" s="7"/>
      <c r="F126" s="7"/>
      <c r="G126" s="7"/>
      <c r="H126" s="7"/>
      <c r="I126" s="7"/>
    </row>
    <row r="127" spans="2:9" s="10" ht="15">
      <c r="B127" s="7" t="s">
        <v>17</v>
      </c>
      <c r="C127" s="7" t="s">
        <v>24</v>
      </c>
      <c r="D127" s="7">
        <f>TR(C5,"TR.InternalHumanRightsTraining","#1 curn=#2 Scale=2 ch:fd transpose:y NULL=BLANK",,C13,C12)</f>
        <v>0</v>
      </c>
      <c r="E127" s="7"/>
      <c r="F127" s="7"/>
      <c r="G127" s="7"/>
      <c r="H127" s="7"/>
      <c r="I127" s="7"/>
    </row>
    <row r="128" spans="2:9" s="10" ht="15">
      <c r="B128" s="7" t="s">
        <v>17</v>
      </c>
      <c r="C128" s="7" t="s">
        <v>24</v>
      </c>
      <c r="D128" s="7">
        <f>TR(C5,"TR.MitigationHumanRightsIssues","#1 curn=#2 Scale=2 ch:fd transpose:y NULL=BLANK",,C13,C12)</f>
        <v>0</v>
      </c>
      <c r="E128" s="7"/>
      <c r="F128" s="7"/>
      <c r="G128" s="7"/>
      <c r="H128" s="7"/>
      <c r="I128" s="7"/>
    </row>
    <row r="129" spans="2:9" s="10" ht="15">
      <c r="B129" s="7" t="s">
        <v>17</v>
      </c>
      <c r="C129" s="7" t="s">
        <v>24</v>
      </c>
      <c r="D129" s="7">
        <f>TR(C5,"TR.PolicyCollectiveBargaining","#1 curn=#2 Scale=2 ch:fd transpose:y NULL=BLANK",,C13,C12)</f>
        <v>0</v>
      </c>
      <c r="E129" s="7"/>
      <c r="F129" s="7"/>
      <c r="G129" s="7"/>
      <c r="H129" s="7"/>
      <c r="I129" s="7"/>
    </row>
    <row r="130" spans="2:9" s="10" ht="15">
      <c r="B130" s="7" t="s">
        <v>17</v>
      </c>
      <c r="C130" s="7" t="s">
        <v>24</v>
      </c>
      <c r="D130" s="7">
        <f>TR(C5,"TR.PolicyFreedomofExpression","#1 curn=#2 Scale=2 ch:fd transpose:y NULL=BLANK",,C13,C12)</f>
        <v>0</v>
      </c>
      <c r="E130" s="7"/>
      <c r="F130" s="7"/>
      <c r="G130" s="7"/>
      <c r="H130" s="7"/>
      <c r="I130" s="7"/>
    </row>
    <row r="131" spans="2:9" s="10" ht="15">
      <c r="B131" s="7" t="s">
        <v>17</v>
      </c>
      <c r="C131" s="7" t="s">
        <v>24</v>
      </c>
      <c r="D131" s="7">
        <f>TR(C5,"TR.PolicyIndigenousRightsConsent","#1 curn=#2 Scale=2 ch:fd transpose:y NULL=BLANK",,C13,C12)</f>
        <v>0</v>
      </c>
      <c r="E131" s="7"/>
      <c r="F131" s="7"/>
      <c r="G131" s="7"/>
      <c r="H131" s="7"/>
      <c r="I131" s="7"/>
    </row>
    <row r="132" spans="2:9" s="10" ht="15">
      <c r="B132" s="7" t="s">
        <v>17</v>
      </c>
      <c r="C132" s="7" t="s">
        <v>24</v>
      </c>
      <c r="D132" s="7">
        <f>TR(C5,"TR.PolicyIndigenousRightsConsultation","#1 curn=#2 Scale=2 ch:fd transpose:y NULL=BLANK",,C13,C12)</f>
        <v>0</v>
      </c>
      <c r="E132" s="7"/>
      <c r="F132" s="7"/>
      <c r="G132" s="7"/>
      <c r="H132" s="7"/>
      <c r="I132" s="7"/>
    </row>
    <row r="133" spans="2:9" s="10" ht="15">
      <c r="B133" s="7" t="s">
        <v>17</v>
      </c>
      <c r="C133" s="7" t="s">
        <v>24</v>
      </c>
      <c r="D133" s="7">
        <f>TR(C5,"TR.PolicyLivingWage","#1 curn=#2 Scale=2 ch:fd transpose:y NULL=BLANK",,C13,C12)</f>
        <v>0</v>
      </c>
      <c r="E133" s="7"/>
      <c r="F133" s="7"/>
      <c r="G133" s="7"/>
      <c r="H133" s="7"/>
      <c r="I133" s="7"/>
    </row>
    <row r="134" spans="2:9" s="10" ht="15">
      <c r="B134" s="7" t="s">
        <v>17</v>
      </c>
      <c r="C134" s="7" t="s">
        <v>24</v>
      </c>
      <c r="D134" s="7">
        <f>TR(C5,"TR.PolicyMinimumWage","#1 curn=#2 Scale=2 ch:fd transpose:y NULL=BLANK",,C13,C12)</f>
        <v>0</v>
      </c>
      <c r="E134" s="7"/>
      <c r="F134" s="7"/>
      <c r="G134" s="7"/>
      <c r="H134" s="7"/>
      <c r="I134" s="7"/>
    </row>
    <row r="135" spans="2:9" s="10" ht="15">
      <c r="B135" s="7" t="s">
        <v>17</v>
      </c>
      <c r="C135" s="7" t="s">
        <v>24</v>
      </c>
      <c r="D135" s="7">
        <f>TR(C5,"TR.PolicySecurityGuards","#1 curn=#2 Scale=2 ch:fd transpose:y NULL=BLANK",,C13,C12)</f>
        <v>0</v>
      </c>
      <c r="E135" s="7"/>
      <c r="F135" s="7"/>
      <c r="G135" s="7"/>
      <c r="H135" s="7"/>
      <c r="I135" s="7"/>
    </row>
    <row r="136" spans="2:9" s="10" ht="15">
      <c r="B136" s="7" t="s">
        <v>17</v>
      </c>
      <c r="C136" s="7" t="s">
        <v>24</v>
      </c>
      <c r="D136" s="7">
        <f>TR(C5,"TR.PolicySiteDecommissioning","#1 curn=#2 Scale=2 ch:fd transpose:y NULL=BLANK",,C13,C12)</f>
        <v>0</v>
      </c>
      <c r="E136" s="7"/>
      <c r="F136" s="7"/>
      <c r="G136" s="7"/>
      <c r="H136" s="7"/>
      <c r="I136" s="7"/>
    </row>
    <row r="137" spans="2:9" s="10" ht="15">
      <c r="B137" s="7" t="s">
        <v>17</v>
      </c>
      <c r="C137" s="7" t="s">
        <v>24</v>
      </c>
      <c r="D137" s="7">
        <f>TR(C5,"TR.PolicyWorkingHours","#1 curn=#2 Scale=2 ch:fd transpose:y NULL=BLANK",,C13,C12)</f>
        <v>0</v>
      </c>
      <c r="E137" s="7"/>
      <c r="F137" s="7"/>
      <c r="G137" s="7"/>
      <c r="H137" s="7"/>
      <c r="I137" s="7"/>
    </row>
    <row r="138" spans="2:9" s="10" ht="15">
      <c r="B138" s="7" t="s">
        <v>17</v>
      </c>
      <c r="C138" s="7" t="s">
        <v>24</v>
      </c>
      <c r="D138" s="7">
        <f>TR(C5,"TR.RemedyHumanRightsImpacts","#1 curn=#2 Scale=2 ch:fd transpose:y NULL=BLANK",,C13,C12)</f>
        <v>0</v>
      </c>
      <c r="E138" s="7"/>
      <c r="F138" s="7"/>
      <c r="G138" s="7"/>
      <c r="H138" s="7"/>
      <c r="I138" s="7"/>
    </row>
    <row r="139" spans="2:9" s="10" ht="15">
      <c r="B139" s="7" t="s">
        <v>17</v>
      </c>
      <c r="C139" s="7" t="s">
        <v>24</v>
      </c>
      <c r="D139" s="7">
        <f>TR(C5,"TR.RiskAssessmentLabourStandards","#1 curn=#2 Scale=2 ch:fd transpose:y NULL=BLANK",,C13,C12)</f>
        <v>0</v>
      </c>
      <c r="E139" s="7"/>
      <c r="F139" s="7"/>
      <c r="G139" s="7"/>
      <c r="H139" s="7"/>
      <c r="I139" s="7"/>
    </row>
    <row r="140" spans="2:9" s="10" ht="15">
      <c r="B140" s="7" t="s">
        <v>17</v>
      </c>
      <c r="C140" s="7" t="s">
        <v>24</v>
      </c>
      <c r="D140" s="7">
        <f>TR(C5,"TR.ViolationsofHumanRights","#1 curn=#2 Scale=2 ch:fd transpose:y NULL=BLANK",,C13,C12)</f>
        <v>0</v>
      </c>
      <c r="E140" s="7"/>
      <c r="F140" s="7"/>
      <c r="G140" s="7"/>
      <c r="H140" s="7"/>
      <c r="I140" s="7"/>
    </row>
    <row r="141" spans="2:9" s="10" ht="15">
      <c r="B141" s="7" t="s">
        <v>19</v>
      </c>
      <c r="C141" s="7" t="s">
        <v>25</v>
      </c>
      <c r="D141" s="7">
        <f>TR(C5,"TR.PolicyFairCompetition","#1 curn=#2 Scale=2 ch:fd transpose:y NULL=BLANK",,C13,C12)</f>
        <v>0</v>
      </c>
      <c r="E141" s="7"/>
      <c r="F141" s="7"/>
      <c r="G141" s="7"/>
      <c r="H141" s="7"/>
      <c r="I141" s="7"/>
    </row>
    <row r="142" spans="2:9" s="10" ht="15">
      <c r="B142" s="7" t="s">
        <v>19</v>
      </c>
      <c r="C142" s="7" t="s">
        <v>25</v>
      </c>
      <c r="D142" s="7">
        <f>TR(C5,"TR.PolicyBriberyandCorruption","#1 curn=#2 Scale=2 ch:fd transpose:y NULL=BLANK",,C13,C12)</f>
        <v>0</v>
      </c>
      <c r="E142" s="7"/>
      <c r="F142" s="7"/>
      <c r="G142" s="7"/>
      <c r="H142" s="7"/>
      <c r="I142" s="7"/>
    </row>
    <row r="143" spans="2:9" s="10" ht="15">
      <c r="B143" s="7" t="s">
        <v>19</v>
      </c>
      <c r="C143" s="7" t="s">
        <v>25</v>
      </c>
      <c r="D143" s="7">
        <f>TR(C5,"TR.PolicyBusinessEthics","#1 curn=#2 Scale=2 ch:fd transpose:y NULL=BLANK",,C13,C12)</f>
        <v>0</v>
      </c>
      <c r="E143" s="7"/>
      <c r="F143" s="7"/>
      <c r="G143" s="7"/>
      <c r="H143" s="7"/>
      <c r="I143" s="7"/>
    </row>
    <row r="144" spans="2:9" s="10" ht="15">
      <c r="B144" s="7" t="s">
        <v>19</v>
      </c>
      <c r="C144" s="7" t="s">
        <v>25</v>
      </c>
      <c r="D144" s="7">
        <f>TR(C5,"TR.PolicyCommunityInvolvement","#1 curn=#2 Scale=2 ch:fd transpose:y NULL=BLANK",,C13,C12)</f>
        <v>0</v>
      </c>
      <c r="E144" s="7"/>
      <c r="F144" s="7"/>
      <c r="G144" s="7"/>
      <c r="H144" s="7"/>
      <c r="I144" s="7"/>
    </row>
    <row r="145" spans="2:9" s="10" ht="15">
      <c r="B145" s="7" t="s">
        <v>19</v>
      </c>
      <c r="C145" s="7" t="s">
        <v>25</v>
      </c>
      <c r="D145" s="7">
        <f>TR(C5,"TR.ImprovementToolsBusinessEthics","#1 curn=#2 Scale=2 ch:fd transpose:y NULL=BLANK",,C13,C12)</f>
        <v>0</v>
      </c>
      <c r="E145" s="7"/>
      <c r="F145" s="7"/>
      <c r="G145" s="7"/>
      <c r="H145" s="7"/>
      <c r="I145" s="7"/>
    </row>
    <row r="146" spans="2:9" s="10" ht="15">
      <c r="B146" s="7" t="s">
        <v>19</v>
      </c>
      <c r="C146" s="7" t="s">
        <v>25</v>
      </c>
      <c r="D146" s="7">
        <f>TR(C5,"TR.WhistleblowerProtection","#1 curn=#2 Scale=2 ch:fd transpose:y NULL=BLANK",,C13,C12)</f>
        <v>0</v>
      </c>
      <c r="E146" s="7"/>
      <c r="F146" s="7"/>
      <c r="G146" s="7"/>
      <c r="H146" s="7"/>
      <c r="I146" s="7"/>
    </row>
    <row r="147" spans="2:9" s="10" ht="15">
      <c r="B147" s="7" t="s">
        <v>17</v>
      </c>
      <c r="C147" s="7" t="s">
        <v>25</v>
      </c>
      <c r="D147" s="7">
        <f>TR(C5,"TR.OECDGuidelinesMultiEnterprises","#1 curn=#2 Scale=2 ch:fd transpose:y NULL=BLANK",,C13,C12)</f>
        <v>0</v>
      </c>
      <c r="E147" s="7"/>
      <c r="F147" s="7"/>
      <c r="G147" s="7"/>
      <c r="H147" s="7"/>
      <c r="I147" s="7"/>
    </row>
    <row r="148" spans="2:9" s="10" ht="15">
      <c r="B148" s="7" t="s">
        <v>17</v>
      </c>
      <c r="C148" s="7" t="s">
        <v>25</v>
      </c>
      <c r="D148" s="7">
        <f>TR(C5,"TR.EITI","#1 curn=#2 Scale=2 ch:fd transpose:y NULL=BLANK",,C13,C12)</f>
        <v>0</v>
      </c>
      <c r="E148" s="7"/>
      <c r="F148" s="7"/>
      <c r="G148" s="7"/>
      <c r="H148" s="7"/>
      <c r="I148" s="7"/>
    </row>
    <row r="149" spans="2:9" s="10" ht="15">
      <c r="B149" s="7" t="s">
        <v>19</v>
      </c>
      <c r="C149" s="7" t="s">
        <v>25</v>
      </c>
      <c r="D149" s="7">
        <f>TR(C5,"TR.AnalyticTotalDonations","#1 curn=#2 Scale=2 ch:fd transpose:y NULL=BLANK",,C13,C12)</f>
        <v>0</v>
      </c>
      <c r="E149" s="7"/>
      <c r="F149" s="7"/>
      <c r="G149" s="7"/>
      <c r="H149" s="7"/>
      <c r="I149" s="7"/>
    </row>
    <row r="150" spans="2:9" s="10" ht="15">
      <c r="B150" s="7" t="s">
        <v>17</v>
      </c>
      <c r="C150" s="7" t="s">
        <v>25</v>
      </c>
      <c r="D150" s="7">
        <f>TR(C5,"TR.DonationsTotal","#1 curn=#2 Scale=2 ch:fd transpose:y NULL=BLANK",,C13,C12)</f>
        <v>0</v>
      </c>
      <c r="E150" s="7"/>
      <c r="F150" s="7"/>
      <c r="G150" s="7"/>
      <c r="H150" s="7"/>
      <c r="I150" s="7"/>
    </row>
    <row r="151" spans="2:9" s="10" ht="15">
      <c r="B151" s="7" t="s">
        <v>17</v>
      </c>
      <c r="C151" s="7" t="s">
        <v>25</v>
      </c>
      <c r="D151" s="7">
        <f>TR(C5,"TR.MicrofinanceImpactInvestment","#1 curn=#2 Scale=2 ch:fd transpose:y NULL=BLANK",,C13,C12)</f>
        <v>0</v>
      </c>
      <c r="E151" s="7"/>
      <c r="F151" s="7"/>
      <c r="G151" s="7"/>
      <c r="H151" s="7"/>
      <c r="I151" s="7"/>
    </row>
    <row r="152" spans="2:9" s="10" ht="15">
      <c r="B152" s="7" t="s">
        <v>17</v>
      </c>
      <c r="C152" s="7" t="s">
        <v>25</v>
      </c>
      <c r="D152" s="7">
        <f>TR(C5,"TR.PoliticalContributions","#1 curn=#2 Scale=2 ch:fd transpose:y NULL=BLANK",,C13,C12)</f>
        <v>0</v>
      </c>
      <c r="E152" s="7"/>
      <c r="F152" s="7"/>
      <c r="G152" s="7"/>
      <c r="H152" s="7"/>
      <c r="I152" s="7"/>
    </row>
    <row r="153" spans="2:9" s="10" ht="15">
      <c r="B153" s="7" t="s">
        <v>17</v>
      </c>
      <c r="C153" s="7" t="s">
        <v>25</v>
      </c>
      <c r="D153" s="7">
        <f>TR(C5,"TR.LobbyingContributionAmount","#1 curn=#2 Scale=2 ch:fd transpose:y NULL=BLANK",,C13,C12)</f>
        <v>0</v>
      </c>
      <c r="E153" s="7"/>
      <c r="F153" s="7"/>
      <c r="G153" s="7"/>
      <c r="H153" s="7"/>
      <c r="I153" s="7"/>
    </row>
    <row r="154" spans="2:9" s="10" ht="15">
      <c r="B154" s="7" t="s">
        <v>17</v>
      </c>
      <c r="C154" s="7" t="s">
        <v>25</v>
      </c>
      <c r="D154" s="7">
        <f>TR(C5,"TR.CommunityWork","#1 curn=#2 Scale=2 ch:fd transpose:y NULL=BLANK",,C13,C12)</f>
        <v>0</v>
      </c>
      <c r="E154" s="7"/>
      <c r="F154" s="7"/>
      <c r="G154" s="7"/>
      <c r="H154" s="7"/>
      <c r="I154" s="7"/>
    </row>
    <row r="155" spans="2:9" s="10" ht="15">
      <c r="B155" s="7" t="s">
        <v>19</v>
      </c>
      <c r="C155" s="7" t="s">
        <v>25</v>
      </c>
      <c r="D155" s="7">
        <f>TR(C5,"TR.CorporateResponsibilityAwards","#1 curn=#2 Scale=2 ch:fd transpose:y NULL=BLANK",,C13,C12)</f>
        <v>0</v>
      </c>
      <c r="E155" s="7"/>
      <c r="F155" s="7"/>
      <c r="G155" s="7"/>
      <c r="H155" s="7"/>
      <c r="I155" s="7"/>
    </row>
    <row r="156" spans="2:9" s="10" ht="15">
      <c r="B156" s="7" t="s">
        <v>17</v>
      </c>
      <c r="C156" s="7" t="s">
        <v>25</v>
      </c>
      <c r="D156" s="7">
        <f>TR(C5,"TR.BottomPyramidPricing","#1 curn=#2 Scale=2 ch:fd transpose:y NULL=BLANK",,C13,C12)</f>
        <v>0</v>
      </c>
      <c r="E156" s="7"/>
      <c r="F156" s="7"/>
      <c r="G156" s="7"/>
      <c r="H156" s="7"/>
      <c r="I156" s="7"/>
    </row>
    <row r="157" spans="2:9" s="10" ht="15">
      <c r="B157" s="7" t="s">
        <v>17</v>
      </c>
      <c r="C157" s="7" t="s">
        <v>25</v>
      </c>
      <c r="D157" s="7">
        <f>TR(C5,"TR.DiseasesDevelopingWorld","#1 curn=#2 Scale=2 ch:fd transpose:y NULL=BLANK",,C13,C12)</f>
        <v>0</v>
      </c>
      <c r="E157" s="7"/>
      <c r="F157" s="7"/>
      <c r="G157" s="7"/>
      <c r="H157" s="7"/>
      <c r="I157" s="7"/>
    </row>
    <row r="158" spans="2:9" s="10" ht="15">
      <c r="B158" s="7" t="s">
        <v>17</v>
      </c>
      <c r="C158" s="7" t="s">
        <v>25</v>
      </c>
      <c r="D158" s="7">
        <f>TR(C5,"TR.CrisisMgtSystems","#1 curn=#2 Scale=2 ch:fd transpose:y NULL=BLANK",,C13,C12)</f>
        <v>0</v>
      </c>
      <c r="E158" s="7"/>
      <c r="F158" s="7"/>
      <c r="G158" s="7"/>
      <c r="H158" s="7"/>
      <c r="I158" s="7"/>
    </row>
    <row r="159" spans="2:9" s="10" ht="15">
      <c r="B159" s="7" t="s">
        <v>19</v>
      </c>
      <c r="C159" s="7" t="s">
        <v>25</v>
      </c>
      <c r="D159" s="7">
        <f>TR(C5,"TR.CriticalCountry1","#1 curn=#2 Scale=2 ch:fd transpose:y NULL=BLANK",,C13,C12)</f>
        <v>0</v>
      </c>
      <c r="E159" s="7"/>
      <c r="F159" s="7"/>
      <c r="G159" s="7"/>
      <c r="H159" s="7"/>
      <c r="I159" s="7"/>
    </row>
    <row r="160" spans="2:9" s="10" ht="15">
      <c r="B160" s="7" t="s">
        <v>17</v>
      </c>
      <c r="C160" s="7" t="s">
        <v>25</v>
      </c>
      <c r="D160" s="7">
        <f>TR(C5,"TR.CriticalCountry2","#1 curn=#2 Scale=2 ch:fd transpose:y NULL=BLANK",,C13,C12)</f>
        <v>0</v>
      </c>
      <c r="E160" s="7"/>
      <c r="F160" s="7"/>
      <c r="G160" s="7"/>
      <c r="H160" s="7"/>
      <c r="I160" s="7"/>
    </row>
    <row r="161" spans="2:9" s="10" ht="15">
      <c r="B161" s="7" t="s">
        <v>17</v>
      </c>
      <c r="C161" s="7" t="s">
        <v>25</v>
      </c>
      <c r="D161" s="7">
        <f>TR(C5,"TR.CriticalCountry3","#1 curn=#2 Scale=2 ch:fd transpose:y NULL=BLANK",,C13,C12)</f>
        <v>0</v>
      </c>
      <c r="E161" s="7"/>
      <c r="F161" s="7"/>
      <c r="G161" s="7"/>
      <c r="H161" s="7"/>
      <c r="I161" s="7"/>
    </row>
    <row r="162" spans="2:9" s="10" ht="15">
      <c r="B162" s="7" t="s">
        <v>17</v>
      </c>
      <c r="C162" s="7" t="s">
        <v>25</v>
      </c>
      <c r="D162" s="7">
        <f>TR(C5,"TR.CriticalCountry4","#1 curn=#2 Scale=2 ch:fd transpose:y NULL=BLANK",,C13,C12)</f>
        <v>0</v>
      </c>
      <c r="E162" s="7"/>
      <c r="F162" s="7"/>
      <c r="G162" s="7"/>
      <c r="H162" s="7"/>
      <c r="I162" s="7"/>
    </row>
    <row r="163" spans="2:9" s="10" ht="15">
      <c r="B163" s="7" t="s">
        <v>17</v>
      </c>
      <c r="C163" s="7" t="s">
        <v>25</v>
      </c>
      <c r="D163" s="7">
        <f>TR(C5,"TR.CriticalCountry5","#1 curn=#2 Scale=2 ch:fd transpose:y NULL=BLANK",,C13,C12)</f>
        <v>0</v>
      </c>
      <c r="E163" s="7"/>
      <c r="F163" s="7"/>
      <c r="G163" s="7"/>
      <c r="H163" s="7"/>
      <c r="I163" s="7"/>
    </row>
    <row r="164" spans="2:9" s="10" ht="15">
      <c r="B164" s="7" t="s">
        <v>17</v>
      </c>
      <c r="C164" s="7" t="s">
        <v>25</v>
      </c>
      <c r="D164" s="7">
        <f>TR(C5,"TR.CorruptionDueDiligence","#1 curn=#2 Scale=2 ch:fd transpose:y NULL=BLANK",,C13,C12)</f>
        <v>0</v>
      </c>
      <c r="E164" s="7"/>
      <c r="F164" s="7"/>
      <c r="G164" s="7"/>
      <c r="H164" s="7"/>
      <c r="I164" s="7"/>
    </row>
    <row r="165" spans="2:9" s="10" ht="15">
      <c r="B165" s="7" t="s">
        <v>17</v>
      </c>
      <c r="C165" s="7" t="s">
        <v>25</v>
      </c>
      <c r="D165" s="7">
        <f>TR(C5,"TR.CorruptionIntermediariesProcedures","#1 curn=#2 Scale=2 ch:fd transpose:y NULL=BLANK",,C13,C12)</f>
        <v>0</v>
      </c>
      <c r="E165" s="7"/>
      <c r="F165" s="7"/>
      <c r="G165" s="7"/>
      <c r="H165" s="7"/>
      <c r="I165" s="7"/>
    </row>
    <row r="166" spans="2:9" s="10" ht="15">
      <c r="B166" s="7" t="s">
        <v>17</v>
      </c>
      <c r="C166" s="7" t="s">
        <v>25</v>
      </c>
      <c r="D166" s="7">
        <f>TR(C5,"TR.CorruptionOversight","#1 curn=#2 Scale=2 ch:fd transpose:y NULL=BLANK",,C13,C12)</f>
        <v>0</v>
      </c>
      <c r="E166" s="7"/>
      <c r="F166" s="7"/>
      <c r="G166" s="7"/>
      <c r="H166" s="7"/>
      <c r="I166" s="7"/>
    </row>
    <row r="167" spans="2:9" s="10" ht="15">
      <c r="B167" s="7" t="s">
        <v>17</v>
      </c>
      <c r="C167" s="7" t="s">
        <v>25</v>
      </c>
      <c r="D167" s="7">
        <f>TR(C5,"TR.CorruptionProceduresforHighRiskOperations","#1 curn=#2 Scale=2 ch:fd transpose:y NULL=BLANK",,C13,C12)</f>
        <v>0</v>
      </c>
      <c r="E167" s="7"/>
      <c r="F167" s="7"/>
      <c r="G167" s="7"/>
      <c r="H167" s="7"/>
      <c r="I167" s="7"/>
    </row>
    <row r="168" spans="2:9" s="10" ht="15">
      <c r="B168" s="7" t="s">
        <v>17</v>
      </c>
      <c r="C168" s="7" t="s">
        <v>25</v>
      </c>
      <c r="D168" s="7">
        <f>TR(C5,"TR.CorruptionRiskAssessment","#1 curn=#2 Scale=2 ch:fd transpose:y NULL=BLANK",,C13,C12)</f>
        <v>0</v>
      </c>
      <c r="E168" s="7"/>
      <c r="F168" s="7"/>
      <c r="G168" s="7"/>
      <c r="H168" s="7"/>
      <c r="I168" s="7"/>
    </row>
    <row r="169" spans="2:9" s="10" ht="15">
      <c r="B169" s="7" t="s">
        <v>17</v>
      </c>
      <c r="C169" s="7" t="s">
        <v>25</v>
      </c>
      <c r="D169" s="7">
        <f>TR(C5,"TR.CorruptionTraining","#1 curn=#2 Scale=2 ch:fd transpose:y NULL=BLANK",,C13,C12)</f>
        <v>0</v>
      </c>
      <c r="E169" s="7"/>
      <c r="F169" s="7"/>
      <c r="G169" s="7"/>
      <c r="H169" s="7"/>
      <c r="I169" s="7"/>
    </row>
    <row r="170" spans="2:9" s="10" ht="15">
      <c r="B170" s="7" t="s">
        <v>17</v>
      </c>
      <c r="C170" s="7" t="s">
        <v>25</v>
      </c>
      <c r="D170" s="7">
        <f>TR(C5,"TR.PrinciplesforCommunityInvestments","#1 curn=#2 Scale=2 ch:fd transpose:y NULL=BLANK",,C13,C12)</f>
        <v>0</v>
      </c>
      <c r="E170" s="7"/>
      <c r="F170" s="7"/>
      <c r="G170" s="7"/>
      <c r="H170" s="7"/>
      <c r="I170" s="7"/>
    </row>
    <row r="171" spans="2:9" s="10" ht="15">
      <c r="B171" s="7" t="s">
        <v>17</v>
      </c>
      <c r="C171" s="7" t="s">
        <v>25</v>
      </c>
      <c r="D171" s="7">
        <f>TR(C5,"TR.SupplierPolicyAnimalWelfare","#1 curn=#2 Scale=2 ch:fd transpose:y NULL=BLANK",,C13,C12)</f>
        <v>0</v>
      </c>
      <c r="E171" s="7"/>
      <c r="F171" s="7"/>
      <c r="G171" s="7"/>
      <c r="H171" s="7"/>
      <c r="I171" s="7"/>
    </row>
    <row r="172" spans="2:9" s="10" ht="15">
      <c r="B172" s="7" t="s">
        <v>17</v>
      </c>
      <c r="C172" s="7" t="s">
        <v>25</v>
      </c>
      <c r="D172" s="7">
        <f>TR(C5,"TR.CorruptionFines","#1 curn=#2 Scale=2 ch:fd transpose:y NULL=BLANK",,C13,C12)</f>
        <v>0</v>
      </c>
      <c r="E172" s="7"/>
      <c r="F172" s="7"/>
      <c r="G172" s="7"/>
      <c r="H172" s="7"/>
      <c r="I172" s="7"/>
    </row>
    <row r="173" spans="2:9" s="10" ht="15">
      <c r="B173" s="7" t="s">
        <v>19</v>
      </c>
      <c r="C173" s="7" t="s">
        <v>26</v>
      </c>
      <c r="D173" s="7">
        <f>TR(C5,"TR.PolicyCustomerHealthSafety","#1 curn=#2 Scale=2 ch:fd transpose:y NULL=BLANK",,C13,C12)</f>
        <v>0</v>
      </c>
      <c r="E173" s="7"/>
      <c r="F173" s="7"/>
      <c r="G173" s="7"/>
      <c r="H173" s="7"/>
      <c r="I173" s="7"/>
    </row>
    <row r="174" spans="2:9" s="10" ht="15">
      <c r="B174" s="7" t="s">
        <v>19</v>
      </c>
      <c r="C174" s="7" t="s">
        <v>26</v>
      </c>
      <c r="D174" s="7">
        <f>TR(C5,"TR.PolicyDataPrivacy","#1 curn=#2 Scale=2 ch:fd transpose:y NULL=BLANK",,C13,C12)</f>
        <v>0</v>
      </c>
      <c r="E174" s="7"/>
      <c r="F174" s="7"/>
      <c r="G174" s="7"/>
      <c r="H174" s="7"/>
      <c r="I174" s="7"/>
    </row>
    <row r="175" spans="2:9" s="10" ht="15">
      <c r="B175" s="7" t="s">
        <v>17</v>
      </c>
      <c r="C175" s="7" t="s">
        <v>26</v>
      </c>
      <c r="D175" s="7">
        <f>TR(C5,"TR.PolicyCyberSecurity","#1 curn=#2 Scale=2 ch:fd transpose:y NULL=BLANK",,C13,C12)</f>
        <v>0</v>
      </c>
      <c r="E175" s="7"/>
      <c r="F175" s="7"/>
      <c r="G175" s="7"/>
      <c r="H175" s="7"/>
      <c r="I175" s="7"/>
    </row>
    <row r="176" spans="2:9" s="10" ht="15">
      <c r="B176" s="7" t="s">
        <v>17</v>
      </c>
      <c r="C176" s="7" t="s">
        <v>26</v>
      </c>
      <c r="D176" s="7">
        <f>TR(C5,"TR.PolicyResponsibleMarketing","#1 curn=#2 Scale=2 ch:fd transpose:y NULL=BLANK",,C13,C12)</f>
        <v>0</v>
      </c>
      <c r="E176" s="7"/>
      <c r="F176" s="7"/>
      <c r="G176" s="7"/>
      <c r="H176" s="7"/>
      <c r="I176" s="7"/>
    </row>
    <row r="177" spans="2:9" s="10" ht="15">
      <c r="B177" s="7" t="s">
        <v>17</v>
      </c>
      <c r="C177" s="7" t="s">
        <v>26</v>
      </c>
      <c r="D177" s="7">
        <f>TR(C5,"TR.PolicyFairTrade","#1 curn=#2 Scale=2 ch:fd transpose:y NULL=BLANK",,C13,C12)</f>
        <v>0</v>
      </c>
      <c r="E177" s="7"/>
      <c r="F177" s="7"/>
      <c r="G177" s="7"/>
      <c r="H177" s="7"/>
      <c r="I177" s="7"/>
    </row>
    <row r="178" spans="2:9" s="10" ht="15">
      <c r="B178" s="7" t="s">
        <v>17</v>
      </c>
      <c r="C178" s="7" t="s">
        <v>26</v>
      </c>
      <c r="D178" s="7">
        <f>TR(C5,"TR.ProductQualityMonitoring","#1 curn=#2 Scale=2 ch:fd transpose:y NULL=BLANK",,C13,C12)</f>
        <v>0</v>
      </c>
      <c r="E178" s="7"/>
      <c r="F178" s="7"/>
      <c r="G178" s="7"/>
      <c r="H178" s="7"/>
      <c r="I178" s="7"/>
    </row>
    <row r="179" spans="2:9" s="10" ht="15">
      <c r="B179" s="7" t="s">
        <v>19</v>
      </c>
      <c r="C179" s="7" t="s">
        <v>26</v>
      </c>
      <c r="D179" s="7">
        <f>TR(C5,"TR.AnalyticQMS","#1 curn=#2 Scale=2 ch:fd transpose:y NULL=BLANK",,C13,C12)</f>
        <v>0</v>
      </c>
      <c r="E179" s="7"/>
      <c r="F179" s="7"/>
      <c r="G179" s="7"/>
      <c r="H179" s="7"/>
      <c r="I179" s="7"/>
    </row>
    <row r="180" spans="2:9" s="10" ht="15">
      <c r="B180" s="7" t="s">
        <v>17</v>
      </c>
      <c r="C180" s="7" t="s">
        <v>26</v>
      </c>
      <c r="D180" s="7">
        <f>TR(C5,"TR.ISO9000","#1 curn=#2 Scale=2 ch:fd transpose:y NULL=BLANK",,C13,C12)</f>
        <v>0</v>
      </c>
      <c r="E180" s="7"/>
      <c r="F180" s="7"/>
      <c r="G180" s="7"/>
      <c r="H180" s="7"/>
      <c r="I180" s="7"/>
    </row>
    <row r="181" spans="2:9" s="10" ht="15">
      <c r="B181" s="7" t="s">
        <v>17</v>
      </c>
      <c r="C181" s="7" t="s">
        <v>26</v>
      </c>
      <c r="D181" s="7">
        <f>TR(C5,"TR.SixSigmaQMS","#1 curn=#2 Scale=2 ch:fd transpose:y NULL=BLANK",,C13,C12)</f>
        <v>0</v>
      </c>
      <c r="E181" s="7"/>
      <c r="F181" s="7"/>
      <c r="G181" s="7"/>
      <c r="H181" s="7"/>
      <c r="I181" s="7"/>
    </row>
    <row r="182" spans="2:9" s="10" ht="15">
      <c r="B182" s="7" t="s">
        <v>19</v>
      </c>
      <c r="C182" s="7" t="s">
        <v>26</v>
      </c>
      <c r="D182" s="7">
        <f>TR(C5,"TR.QMSCertifiedPct","#1 curn=#2 Scale=2 ch:fd transpose:y NULL=BLANK",,C13,C12)</f>
        <v>0</v>
      </c>
      <c r="E182" s="7"/>
      <c r="F182" s="7"/>
      <c r="G182" s="7"/>
      <c r="H182" s="7"/>
      <c r="I182" s="7"/>
    </row>
    <row r="183" spans="2:9" s="10" ht="15">
      <c r="B183" s="7" t="s">
        <v>19</v>
      </c>
      <c r="C183" s="7" t="s">
        <v>26</v>
      </c>
      <c r="D183" s="7">
        <f>TR(C5,"TR.CustomerSatisfaction","#1 curn=#2 Scale=2 ch:fd transpose:y NULL=BLANK",,C13,C12)</f>
        <v>0</v>
      </c>
      <c r="E183" s="7"/>
      <c r="F183" s="7"/>
      <c r="G183" s="7"/>
      <c r="H183" s="7"/>
      <c r="I183" s="7"/>
    </row>
    <row r="184" spans="2:9" s="10" ht="15">
      <c r="B184" s="7" t="s">
        <v>17</v>
      </c>
      <c r="C184" s="7" t="s">
        <v>26</v>
      </c>
      <c r="D184" s="7">
        <f>TR(C5,"TR.ProductAccessLowPrice","#1 curn=#2 Scale=2 ch:fd transpose:y NULL=BLANK",,C13,C12)</f>
        <v>0</v>
      </c>
      <c r="E184" s="7"/>
      <c r="F184" s="7"/>
      <c r="G184" s="7"/>
      <c r="H184" s="7"/>
      <c r="I184" s="7"/>
    </row>
    <row r="185" spans="2:9" s="10" ht="15">
      <c r="B185" s="7" t="s">
        <v>17</v>
      </c>
      <c r="C185" s="7" t="s">
        <v>26</v>
      </c>
      <c r="D185" s="7">
        <f>TR(C5,"TR.HealthyProducts","#1 curn=#2 Scale=2 ch:fd transpose:y NULL=BLANK",,C13,C12)</f>
        <v>0</v>
      </c>
      <c r="E185" s="7"/>
      <c r="F185" s="7"/>
      <c r="G185" s="7"/>
      <c r="H185" s="7"/>
      <c r="I185" s="7"/>
    </row>
    <row r="186" spans="2:9" s="10" ht="15">
      <c r="B186" s="7" t="s">
        <v>17</v>
      </c>
      <c r="C186" s="7" t="s">
        <v>26</v>
      </c>
      <c r="D186" s="7">
        <f>TR(C5,"TR.RevenuesHealthyFoodProducts","#1 curn=#2 Scale=2 ch:fd transpose:y NULL=BLANK",,C13,C12)</f>
        <v>0</v>
      </c>
      <c r="E186" s="7"/>
      <c r="F186" s="7"/>
      <c r="G186" s="7"/>
      <c r="H186" s="7"/>
      <c r="I186" s="7"/>
    </row>
    <row r="187" spans="2:9" s="10" ht="15">
      <c r="B187" s="7" t="s">
        <v>17</v>
      </c>
      <c r="C187" s="7" t="s">
        <v>26</v>
      </c>
      <c r="D187" s="7">
        <f>TR(C5,"TR.EmbryonicStemCellResearch","#1 curn=#2 Scale=2 ch:fd transpose:y NULL=BLANK",,C13,C12)</f>
        <v>0</v>
      </c>
      <c r="E187" s="7"/>
      <c r="F187" s="7"/>
      <c r="G187" s="7"/>
      <c r="H187" s="7"/>
      <c r="I187" s="7"/>
    </row>
    <row r="188" spans="2:9" s="10" ht="15">
      <c r="B188" s="7" t="s">
        <v>17</v>
      </c>
      <c r="C188" s="7" t="s">
        <v>26</v>
      </c>
      <c r="D188" s="7">
        <f>TR(C5,"TR.Alcohol","#1 curn=#2 Scale=2 ch:fd transpose:y NULL=BLANK",,C13,C12)</f>
        <v>0</v>
      </c>
      <c r="E188" s="7"/>
      <c r="F188" s="7"/>
      <c r="G188" s="7"/>
      <c r="H188" s="7"/>
      <c r="I188" s="7"/>
    </row>
    <row r="189" spans="2:9" s="10" ht="15">
      <c r="B189" s="7" t="s">
        <v>17</v>
      </c>
      <c r="C189" s="7" t="s">
        <v>26</v>
      </c>
      <c r="D189" s="7">
        <f>TR(C5,"TR.AlcoholRevenues","#1 curn=#2 Scale=2 ch:fd transpose:y NULL=BLANK",,C13,C12)</f>
        <v>0</v>
      </c>
      <c r="E189" s="7"/>
      <c r="F189" s="7"/>
      <c r="G189" s="7"/>
      <c r="H189" s="7"/>
      <c r="I189" s="7"/>
    </row>
    <row r="190" spans="2:9" s="10" ht="15">
      <c r="B190" s="7" t="s">
        <v>17</v>
      </c>
      <c r="C190" s="7" t="s">
        <v>26</v>
      </c>
      <c r="D190" s="7">
        <f>TR(C5,"TR.Alcohol5PctRevenues","#1 curn=#2 Scale=2 ch:fd transpose:y NULL=BLANK",,C13,C12)</f>
        <v>0</v>
      </c>
      <c r="E190" s="7"/>
      <c r="F190" s="7"/>
      <c r="G190" s="7"/>
      <c r="H190" s="7"/>
      <c r="I190" s="7"/>
    </row>
    <row r="191" spans="2:9" s="10" ht="15">
      <c r="B191" s="7" t="s">
        <v>17</v>
      </c>
      <c r="C191" s="7" t="s">
        <v>26</v>
      </c>
      <c r="D191" s="7">
        <f>TR(C5,"TR.Gambling","#1 curn=#2 Scale=2 ch:fd transpose:y NULL=BLANK",,C13,C12)</f>
        <v>0</v>
      </c>
      <c r="E191" s="7"/>
      <c r="F191" s="7"/>
      <c r="G191" s="7"/>
      <c r="H191" s="7"/>
      <c r="I191" s="7"/>
    </row>
    <row r="192" spans="2:9" s="10" ht="15">
      <c r="B192" s="7" t="s">
        <v>17</v>
      </c>
      <c r="C192" s="7" t="s">
        <v>26</v>
      </c>
      <c r="D192" s="7">
        <f>TR(C5,"TR.GamblingRevenues","#1 curn=#2 Scale=2 ch:fd transpose:y NULL=BLANK",,C13,C12)</f>
        <v>0</v>
      </c>
      <c r="E192" s="7"/>
      <c r="F192" s="7"/>
      <c r="G192" s="7"/>
      <c r="H192" s="7"/>
      <c r="I192" s="7"/>
    </row>
    <row r="193" spans="2:9" s="10" ht="15">
      <c r="B193" s="7" t="s">
        <v>17</v>
      </c>
      <c r="C193" s="7" t="s">
        <v>26</v>
      </c>
      <c r="D193" s="7">
        <f>TR(C5,"TR.Gambling5PctRevenues","#1 curn=#2 Scale=2 ch:fd transpose:y NULL=BLANK",,C13,C12)</f>
        <v>0</v>
      </c>
      <c r="E193" s="7"/>
      <c r="F193" s="7"/>
      <c r="G193" s="7"/>
      <c r="H193" s="7"/>
      <c r="I193" s="7"/>
    </row>
    <row r="194" spans="2:9" s="10" ht="15">
      <c r="B194" s="7" t="s">
        <v>17</v>
      </c>
      <c r="C194" s="7" t="s">
        <v>26</v>
      </c>
      <c r="D194" s="7">
        <f>TR(C5,"TR.Tobacco","#1 curn=#2 Scale=2 ch:fd transpose:y NULL=BLANK",,C13,C12)</f>
        <v>0</v>
      </c>
      <c r="E194" s="7"/>
      <c r="F194" s="7"/>
      <c r="G194" s="7"/>
      <c r="H194" s="7"/>
      <c r="I194" s="7"/>
    </row>
    <row r="195" spans="2:9" s="10" ht="15">
      <c r="B195" s="7" t="s">
        <v>17</v>
      </c>
      <c r="C195" s="7" t="s">
        <v>26</v>
      </c>
      <c r="D195" s="7">
        <f>TR(C5,"TR.TobaccoRevenues","#1 curn=#2 Scale=2 ch:fd transpose:y NULL=BLANK",,C13,C12)</f>
        <v>0</v>
      </c>
      <c r="E195" s="7"/>
      <c r="F195" s="7"/>
      <c r="G195" s="7"/>
      <c r="H195" s="7"/>
      <c r="I195" s="7"/>
    </row>
    <row r="196" spans="2:9" s="10" ht="15">
      <c r="B196" s="7" t="s">
        <v>17</v>
      </c>
      <c r="C196" s="7" t="s">
        <v>26</v>
      </c>
      <c r="D196" s="7">
        <f>TR(C5,"TR.Tobacco5PctRevenues","#1 curn=#2 Scale=2 ch:fd transpose:y NULL=BLANK",,C13,C12)</f>
        <v>0</v>
      </c>
      <c r="E196" s="7"/>
      <c r="F196" s="7"/>
      <c r="G196" s="7"/>
      <c r="H196" s="7"/>
      <c r="I196" s="7"/>
    </row>
    <row r="197" spans="2:9" s="10" ht="15">
      <c r="B197" s="7" t="s">
        <v>17</v>
      </c>
      <c r="C197" s="7" t="s">
        <v>26</v>
      </c>
      <c r="D197" s="7">
        <f>TR(C5,"TR.AlcoholRetailing","#1 curn=#2 Scale=2 ch:fd transpose:y NULL=BLANK",,C13,C12)</f>
        <v>0</v>
      </c>
      <c r="E197" s="7"/>
      <c r="F197" s="7"/>
      <c r="G197" s="7"/>
      <c r="H197" s="7"/>
      <c r="I197" s="7"/>
    </row>
    <row r="198" spans="2:9" s="10" ht="15">
      <c r="B198" s="7" t="s">
        <v>17</v>
      </c>
      <c r="C198" s="7" t="s">
        <v>26</v>
      </c>
      <c r="D198" s="7">
        <f>TR(C5,"TR.TobaccoRetailing","#1 curn=#2 Scale=2 ch:fd transpose:y NULL=BLANK",,C13,C12)</f>
        <v>0</v>
      </c>
      <c r="E198" s="7"/>
      <c r="F198" s="7"/>
      <c r="G198" s="7"/>
      <c r="H198" s="7"/>
      <c r="I198" s="7"/>
    </row>
    <row r="199" spans="2:9" s="10" ht="15">
      <c r="B199" s="7" t="s">
        <v>17</v>
      </c>
      <c r="C199" s="7" t="s">
        <v>26</v>
      </c>
      <c r="D199" s="7">
        <f>TR(C5,"TR.Armaments","#1 curn=#2 Scale=2 ch:fd transpose:y NULL=BLANK",,C13,C12)</f>
        <v>0</v>
      </c>
      <c r="E199" s="7"/>
      <c r="F199" s="7"/>
      <c r="G199" s="7"/>
      <c r="H199" s="7"/>
      <c r="I199" s="7"/>
    </row>
    <row r="200" spans="2:9" s="10" ht="15">
      <c r="B200" s="7" t="s">
        <v>17</v>
      </c>
      <c r="C200" s="7" t="s">
        <v>26</v>
      </c>
      <c r="D200" s="7">
        <f>TR(C5,"TR.ArmamentRevenues","#1 curn=#2 Scale=2 ch:fd transpose:y NULL=BLANK",,C13,C12)</f>
        <v>0</v>
      </c>
      <c r="E200" s="7"/>
      <c r="F200" s="7"/>
      <c r="G200" s="7"/>
      <c r="H200" s="7"/>
      <c r="I200" s="7"/>
    </row>
    <row r="201" spans="2:9" s="10" ht="15">
      <c r="B201" s="7" t="s">
        <v>17</v>
      </c>
      <c r="C201" s="7" t="s">
        <v>26</v>
      </c>
      <c r="D201" s="7">
        <f>TR(C5,"TR.Armaments5PctRevenues","#1 curn=#2 Scale=2 ch:fd transpose:y NULL=BLANK",,C13,C12)</f>
        <v>0</v>
      </c>
      <c r="E201" s="7"/>
      <c r="F201" s="7"/>
      <c r="G201" s="7"/>
      <c r="H201" s="7"/>
      <c r="I201" s="7"/>
    </row>
    <row r="202" spans="2:9" s="10" ht="15">
      <c r="B202" s="7" t="s">
        <v>17</v>
      </c>
      <c r="C202" s="7" t="s">
        <v>26</v>
      </c>
      <c r="D202" s="7">
        <f>TR(C5,"TR.Nuclear5PctRevenues","#1 curn=#2 Scale=2 ch:fd transpose:y NULL=BLANK",,C13,C12)</f>
        <v>0</v>
      </c>
      <c r="E202" s="7"/>
      <c r="F202" s="7"/>
      <c r="G202" s="7"/>
      <c r="H202" s="7"/>
      <c r="I202" s="7"/>
    </row>
    <row r="203" spans="2:9" s="10" ht="15">
      <c r="B203" s="7" t="s">
        <v>17</v>
      </c>
      <c r="C203" s="7" t="s">
        <v>26</v>
      </c>
      <c r="D203" s="7">
        <f>TR(C5,"TR.Pornography","#1 curn=#2 Scale=2 ch:fd transpose:y NULL=BLANK",,C13,C12)</f>
        <v>0</v>
      </c>
      <c r="E203" s="7"/>
      <c r="F203" s="7"/>
      <c r="G203" s="7"/>
      <c r="H203" s="7"/>
      <c r="I203" s="7"/>
    </row>
    <row r="204" spans="2:9" s="10" ht="15">
      <c r="B204" s="7" t="s">
        <v>17</v>
      </c>
      <c r="C204" s="7" t="s">
        <v>26</v>
      </c>
      <c r="D204" s="7">
        <f>TR(C5,"TR.Contraceptives","#1 curn=#2 Scale=2 ch:fd transpose:y NULL=BLANK",,C13,C12)</f>
        <v>0</v>
      </c>
      <c r="E204" s="7"/>
      <c r="F204" s="7"/>
      <c r="G204" s="7"/>
      <c r="H204" s="7"/>
      <c r="I204" s="7"/>
    </row>
    <row r="205" spans="2:9" s="10" ht="15">
      <c r="B205" s="7" t="s">
        <v>17</v>
      </c>
      <c r="C205" s="7" t="s">
        <v>26</v>
      </c>
      <c r="D205" s="7">
        <f>TR(C5,"TR.ObesityRisk","#1 curn=#2 Scale=2 ch:fd transpose:y NULL=BLANK",,C13,C12)</f>
        <v>0</v>
      </c>
      <c r="E205" s="7"/>
      <c r="F205" s="7"/>
      <c r="G205" s="7"/>
      <c r="H205" s="7"/>
      <c r="I205" s="7"/>
    </row>
    <row r="206" spans="2:9" s="10" ht="15">
      <c r="B206" s="7" t="s">
        <v>17</v>
      </c>
      <c r="C206" s="7" t="s">
        <v>26</v>
      </c>
      <c r="D206" s="7">
        <f>TR(C5,"TR.ClusterBombs","#1 curn=#2 Scale=2 ch:fd transpose:y NULL=BLANK",,C13,C12)</f>
        <v>0</v>
      </c>
      <c r="E206" s="7"/>
      <c r="F206" s="7"/>
      <c r="G206" s="7"/>
      <c r="H206" s="7"/>
      <c r="I206" s="7"/>
    </row>
    <row r="207" spans="2:9" s="10" ht="15">
      <c r="B207" s="7" t="s">
        <v>17</v>
      </c>
      <c r="C207" s="7" t="s">
        <v>26</v>
      </c>
      <c r="D207" s="7">
        <f>TR(C5,"TR.AntiPersonnelLandmines","#1 curn=#2 Scale=2 ch:fd transpose:y NULL=BLANK",,C13,C12)</f>
        <v>0</v>
      </c>
      <c r="E207" s="7"/>
      <c r="F207" s="7"/>
      <c r="G207" s="7"/>
      <c r="H207" s="7"/>
      <c r="I207" s="7"/>
    </row>
    <row r="208" spans="2:9" s="10" ht="15">
      <c r="B208" s="7" t="s">
        <v>17</v>
      </c>
      <c r="C208" s="7" t="s">
        <v>26</v>
      </c>
      <c r="D208" s="7">
        <f>TR(C5,"TR.Abortifacients","#1 curn=#2 Scale=2 ch:fd transpose:y NULL=BLANK",,C13,C12)</f>
        <v>0</v>
      </c>
      <c r="E208" s="7"/>
      <c r="F208" s="7"/>
      <c r="G208" s="7"/>
      <c r="H208" s="7"/>
      <c r="I208" s="7"/>
    </row>
    <row r="209" spans="2:9" s="10" ht="15">
      <c r="B209" s="7" t="s">
        <v>17</v>
      </c>
      <c r="C209" s="7" t="s">
        <v>26</v>
      </c>
      <c r="D209" s="7">
        <f>TR(C5,"TR.Firearms","#1 curn=#2 Scale=2 ch:fd transpose:y NULL=BLANK",,C13,C12)</f>
        <v>0</v>
      </c>
      <c r="E209" s="7"/>
      <c r="F209" s="7"/>
      <c r="G209" s="7"/>
      <c r="H209" s="7"/>
      <c r="I209" s="7"/>
    </row>
    <row r="210" spans="2:9" s="10" ht="15">
      <c r="B210" s="7" t="s">
        <v>17</v>
      </c>
      <c r="C210" s="7" t="s">
        <v>26</v>
      </c>
      <c r="D210" s="7">
        <f>TR(C5,"TR.PorkProducts","#1 curn=#2 Scale=2 ch:fd transpose:y NULL=BLANK",,C13,C12)</f>
        <v>0</v>
      </c>
      <c r="E210" s="7"/>
      <c r="F210" s="7"/>
      <c r="G210" s="7"/>
      <c r="H210" s="7"/>
      <c r="I210" s="7"/>
    </row>
    <row r="211" spans="2:9" s="10" ht="15">
      <c r="B211" s="7" t="s">
        <v>17</v>
      </c>
      <c r="C211" s="7" t="s">
        <v>26</v>
      </c>
      <c r="D211" s="7">
        <f>TR(C5,"TR.RevenuesPorkProducts","#1 curn=#2 Scale=2 ch:fd transpose:y NULL=BLANK",,C13,C12)</f>
        <v>0</v>
      </c>
      <c r="E211" s="7"/>
      <c r="F211" s="7"/>
      <c r="G211" s="7"/>
      <c r="H211" s="7"/>
      <c r="I211" s="7"/>
    </row>
    <row r="212" spans="2:9" s="10" ht="15">
      <c r="B212" s="7" t="s">
        <v>17</v>
      </c>
      <c r="C212" s="7" t="s">
        <v>26</v>
      </c>
      <c r="D212" s="7">
        <f>TR(C5,"TR.AnimalWellbeing","#1 curn=#2 Scale=2 ch:fd transpose:y NULL=BLANK",,C13,C12)</f>
        <v>0</v>
      </c>
      <c r="E212" s="7"/>
      <c r="F212" s="7"/>
      <c r="G212" s="7"/>
      <c r="H212" s="7"/>
      <c r="I212" s="7"/>
    </row>
    <row r="213" spans="2:9" s="10" ht="15">
      <c r="B213" s="7" t="s">
        <v>17</v>
      </c>
      <c r="C213" s="7" t="s">
        <v>26</v>
      </c>
      <c r="D213" s="7">
        <f>TR(C5,"TR.ChemicalBiologicalWeapons","#1 curn=#2 Scale=2 ch:fd transpose:y NULL=BLANK",,C13,C12)</f>
        <v>0</v>
      </c>
      <c r="E213" s="7"/>
      <c r="F213" s="7"/>
      <c r="G213" s="7"/>
      <c r="H213" s="7"/>
      <c r="I213" s="7"/>
    </row>
    <row r="214" spans="2:9" s="10" ht="15">
      <c r="B214" s="7" t="s">
        <v>17</v>
      </c>
      <c r="C214" s="7" t="s">
        <v>26</v>
      </c>
      <c r="D214" s="7">
        <f>TR(C5,"TR.ChemicalBiologicalWeaponsOwnershipPct","#1 curn=#2 Scale=2 ch:fd transpose:y NULL=BLANK",,C13,C12)</f>
        <v>0</v>
      </c>
      <c r="E214" s="7"/>
      <c r="F214" s="7"/>
      <c r="G214" s="7"/>
      <c r="H214" s="7"/>
      <c r="I214" s="7"/>
    </row>
    <row r="215" spans="2:9" s="10" ht="15">
      <c r="B215" s="7" t="s">
        <v>17</v>
      </c>
      <c r="C215" s="7" t="s">
        <v>26</v>
      </c>
      <c r="D215" s="7">
        <f>TR(C5,"TR.ClusterMunitionsOwnershipPct","#1 curn=#2 Scale=2 ch:fd transpose:y NULL=BLANK",,C13,C12)</f>
        <v>0</v>
      </c>
      <c r="E215" s="7"/>
      <c r="F215" s="7"/>
      <c r="G215" s="7"/>
      <c r="H215" s="7"/>
      <c r="I215" s="7"/>
    </row>
    <row r="216" spans="2:9" s="10" ht="15">
      <c r="B216" s="7" t="s">
        <v>17</v>
      </c>
      <c r="C216" s="7" t="s">
        <v>26</v>
      </c>
      <c r="D216" s="7">
        <f>TR(C5,"TR.AntiPersonnelLandminesOwnershipPct","#1 curn=#2 Scale=2 ch:fd transpose:y NULL=BLANK",,C13,C12)</f>
        <v>0</v>
      </c>
      <c r="E216" s="7"/>
      <c r="F216" s="7"/>
      <c r="G216" s="7"/>
      <c r="H216" s="7"/>
      <c r="I216" s="7"/>
    </row>
    <row r="217" spans="2:9" s="10" ht="15">
      <c r="B217" s="7" t="s">
        <v>17</v>
      </c>
      <c r="C217" s="7" t="s">
        <v>26</v>
      </c>
      <c r="D217" s="7">
        <f>TR(C5,"TR.NuclearWeapons","#1 curn=#2 Scale=2 ch:fd transpose:y NULL=BLANK",,C13,C12)</f>
        <v>0</v>
      </c>
      <c r="E217" s="7"/>
      <c r="F217" s="7"/>
      <c r="G217" s="7"/>
      <c r="H217" s="7"/>
      <c r="I217" s="7"/>
    </row>
    <row r="218" spans="2:9" s="10" ht="15">
      <c r="B218" s="7" t="s">
        <v>17</v>
      </c>
      <c r="C218" s="7" t="s">
        <v>26</v>
      </c>
      <c r="D218" s="7">
        <f>TR(C5,"TR.NuclearWeaponsOwnershipPct","#1 curn=#2 Scale=2 ch:fd transpose:y NULL=BLANK",,C13,C12)</f>
        <v>0</v>
      </c>
      <c r="E218" s="7"/>
      <c r="F218" s="7"/>
      <c r="G218" s="7"/>
      <c r="H218" s="7"/>
      <c r="I218" s="7"/>
    </row>
    <row r="219" spans="2:9" s="10" ht="15">
      <c r="B219" s="7" t="s">
        <v>17</v>
      </c>
      <c r="C219" s="7" t="s">
        <v>26</v>
      </c>
      <c r="D219" s="7">
        <f>TR(C5,"TR.MilitaryWeaponsorPersonnel","#1 curn=#2 Scale=2 ch:fd transpose:y NULL=BLANK",,C13,C12)</f>
        <v>0</v>
      </c>
      <c r="E219" s="7"/>
      <c r="F219" s="7"/>
      <c r="G219" s="7"/>
      <c r="H219" s="7"/>
      <c r="I219" s="7"/>
    </row>
    <row r="220" spans="2:9" s="10" ht="15">
      <c r="B220" s="7" t="s">
        <v>17</v>
      </c>
      <c r="C220" s="7" t="s">
        <v>26</v>
      </c>
      <c r="D220" s="7">
        <f>TR(C5,"TR.MilitaryWeaponsorPersonnelOwnershipPct","#1 curn=#2 Scale=2 ch:fd transpose:y NULL=BLANK",,C13,C12)</f>
        <v>0</v>
      </c>
      <c r="E220" s="7"/>
      <c r="F220" s="7"/>
      <c r="G220" s="7"/>
      <c r="H220" s="7"/>
      <c r="I220" s="7"/>
    </row>
    <row r="221" spans="2:9" s="10" ht="15">
      <c r="B221" s="7" t="s">
        <v>17</v>
      </c>
      <c r="C221" s="7" t="s">
        <v>26</v>
      </c>
      <c r="D221" s="7">
        <f>TR(C5,"TR.MilitaryWeaponsorPersonnelRevenue","#1 curn=#2 Scale=2 ch:fd transpose:y NULL=BLANK",,C13,C12)</f>
        <v>0</v>
      </c>
      <c r="E221" s="7"/>
      <c r="F221" s="7"/>
      <c r="G221" s="7"/>
      <c r="H221" s="7"/>
      <c r="I221" s="7"/>
    </row>
    <row r="222" spans="2:9" s="10" ht="15">
      <c r="B222" s="7" t="s">
        <v>17</v>
      </c>
      <c r="C222" s="7" t="s">
        <v>26</v>
      </c>
      <c r="D222" s="7">
        <f>TR(C5,"TR.OilGasProducerOwnershipPct","#1 curn=#2 Scale=2 ch:fd transpose:y NULL=BLANK",,C13,C12)</f>
        <v>0</v>
      </c>
      <c r="E222" s="7"/>
      <c r="F222" s="7"/>
      <c r="G222" s="7"/>
      <c r="H222" s="7"/>
      <c r="I222" s="7"/>
    </row>
    <row r="223" spans="2:9" s="10" ht="15">
      <c r="B223" s="7" t="s">
        <v>17</v>
      </c>
      <c r="C223" s="7" t="s">
        <v>26</v>
      </c>
      <c r="D223" s="7">
        <f>TR(C5,"TR.FirearmsProducer","#1 curn=#2 Scale=2 ch:fd transpose:y NULL=BLANK",,C13,C12)</f>
        <v>0</v>
      </c>
      <c r="E223" s="7"/>
      <c r="F223" s="7"/>
      <c r="G223" s="7"/>
      <c r="H223" s="7"/>
      <c r="I223" s="7"/>
    </row>
    <row r="224" spans="2:9" s="10" ht="15">
      <c r="B224" s="7" t="s">
        <v>17</v>
      </c>
      <c r="C224" s="7" t="s">
        <v>26</v>
      </c>
      <c r="D224" s="7">
        <f>TR(C5,"TR.FirearmsProducerOwnershipPct","#1 curn=#2 Scale=2 ch:fd transpose:y NULL=BLANK",,C13,C12)</f>
        <v>0</v>
      </c>
      <c r="E224" s="7"/>
      <c r="F224" s="7"/>
      <c r="G224" s="7"/>
      <c r="H224" s="7"/>
      <c r="I224" s="7"/>
    </row>
    <row r="225" spans="2:9" s="10" ht="15">
      <c r="B225" s="7" t="s">
        <v>17</v>
      </c>
      <c r="C225" s="7" t="s">
        <v>26</v>
      </c>
      <c r="D225" s="7">
        <f>TR(C5,"TR.FirearmsProducerRevenue","#1 curn=#2 Scale=2 ch:fd transpose:y NULL=BLANK",,C13,C12)</f>
        <v>0</v>
      </c>
      <c r="E225" s="7"/>
      <c r="F225" s="7"/>
      <c r="G225" s="7"/>
      <c r="H225" s="7"/>
      <c r="I225" s="7"/>
    </row>
    <row r="226" spans="2:9" s="10" ht="15">
      <c r="B226" s="7" t="s">
        <v>17</v>
      </c>
      <c r="C226" s="7" t="s">
        <v>26</v>
      </c>
      <c r="D226" s="7">
        <f>TR(C5,"TR.OilSandsProducerOwnershipPct","#1 curn=#2 Scale=2 ch:fd transpose:y NULL=BLANK",,C13,C12)</f>
        <v>0</v>
      </c>
      <c r="E226" s="7"/>
      <c r="F226" s="7"/>
      <c r="G226" s="7"/>
      <c r="H226" s="7"/>
      <c r="I226" s="7"/>
    </row>
    <row r="227" spans="2:9" s="10" ht="15">
      <c r="B227" s="7" t="s">
        <v>17</v>
      </c>
      <c r="C227" s="7" t="s">
        <v>26</v>
      </c>
      <c r="D227" s="7">
        <f>TR(C5,"TR.FirearmsRetailer","#1 curn=#2 Scale=2 ch:fd transpose:y NULL=BLANK",,C13,C12)</f>
        <v>0</v>
      </c>
      <c r="E227" s="7"/>
      <c r="F227" s="7"/>
      <c r="G227" s="7"/>
      <c r="H227" s="7"/>
      <c r="I227" s="7"/>
    </row>
    <row r="228" spans="2:9" s="10" ht="15">
      <c r="B228" s="7" t="s">
        <v>17</v>
      </c>
      <c r="C228" s="7" t="s">
        <v>26</v>
      </c>
      <c r="D228" s="7">
        <f>TR(C5,"TR.FirearmsRetailerOwnershipPct","#1 curn=#2 Scale=2 ch:fd transpose:y NULL=BLANK",,C13,C12)</f>
        <v>0</v>
      </c>
      <c r="E228" s="7"/>
      <c r="F228" s="7"/>
      <c r="G228" s="7"/>
      <c r="H228" s="7"/>
      <c r="I228" s="7"/>
    </row>
    <row r="229" spans="2:9" s="10" ht="15">
      <c r="B229" s="7" t="s">
        <v>17</v>
      </c>
      <c r="C229" s="7" t="s">
        <v>26</v>
      </c>
      <c r="D229" s="7">
        <f>TR(C5,"TR.FirearmsRetailerRevenue","#1 curn=#2 Scale=2 ch:fd transpose:y NULL=BLANK",,C13,C12)</f>
        <v>0</v>
      </c>
      <c r="E229" s="7"/>
      <c r="F229" s="7"/>
      <c r="G229" s="7"/>
      <c r="H229" s="7"/>
      <c r="I229" s="7"/>
    </row>
    <row r="230" spans="2:9" s="10" ht="15">
      <c r="B230" s="7" t="s">
        <v>17</v>
      </c>
      <c r="C230" s="7" t="s">
        <v>26</v>
      </c>
      <c r="D230" s="7">
        <f>TR(C5,"TR.ArcticOilProducerOwnershipPct","#1 curn=#2 Scale=2 ch:fd transpose:y NULL=BLANK",,C13,C12)</f>
        <v>0</v>
      </c>
      <c r="E230" s="7"/>
      <c r="F230" s="7"/>
      <c r="G230" s="7"/>
      <c r="H230" s="7"/>
      <c r="I230" s="7"/>
    </row>
    <row r="231" spans="2:9" s="10" ht="15">
      <c r="B231" s="7" t="s">
        <v>17</v>
      </c>
      <c r="C231" s="7" t="s">
        <v>26</v>
      </c>
      <c r="D231" s="7">
        <f>TR(C5,"TR.AdultEntertainmentProducer","#1 curn=#2 Scale=2 ch:fd transpose:y NULL=BLANK",,C13,C12)</f>
        <v>0</v>
      </c>
      <c r="E231" s="7"/>
      <c r="F231" s="7"/>
      <c r="G231" s="7"/>
      <c r="H231" s="7"/>
      <c r="I231" s="7"/>
    </row>
    <row r="232" spans="2:9" s="10" ht="15">
      <c r="B232" s="7" t="s">
        <v>17</v>
      </c>
      <c r="C232" s="7" t="s">
        <v>26</v>
      </c>
      <c r="D232" s="7">
        <f>TR(C5,"TR.AdultEntertainmentProducerOwnershipPct","#1 curn=#2 Scale=2 ch:fd transpose:y NULL=BLANK",,C13,C12)</f>
        <v>0</v>
      </c>
      <c r="E232" s="7"/>
      <c r="F232" s="7"/>
      <c r="G232" s="7"/>
      <c r="H232" s="7"/>
      <c r="I232" s="7"/>
    </row>
    <row r="233" spans="2:9" s="10" ht="15">
      <c r="B233" s="7" t="s">
        <v>17</v>
      </c>
      <c r="C233" s="7" t="s">
        <v>26</v>
      </c>
      <c r="D233" s="7">
        <f>TR(C5,"TR.AdultEntertainmentRetailer","#1 curn=#2 Scale=2 ch:fd transpose:y NULL=BLANK",,C13,C12)</f>
        <v>0</v>
      </c>
      <c r="E233" s="7"/>
      <c r="F233" s="7"/>
      <c r="G233" s="7"/>
      <c r="H233" s="7"/>
      <c r="I233" s="7"/>
    </row>
    <row r="234" spans="2:9" s="10" ht="15">
      <c r="B234" s="7" t="s">
        <v>17</v>
      </c>
      <c r="C234" s="7" t="s">
        <v>26</v>
      </c>
      <c r="D234" s="7">
        <f>TR(C5,"TR.AdultEntertainmentRetailerOwnershipPct","#1 curn=#2 Scale=2 ch:fd transpose:y NULL=BLANK",,C13,C12)</f>
        <v>0</v>
      </c>
      <c r="E234" s="7"/>
      <c r="F234" s="7"/>
      <c r="G234" s="7"/>
      <c r="H234" s="7"/>
      <c r="I234" s="7"/>
    </row>
    <row r="235" spans="2:9" s="10" ht="15">
      <c r="B235" s="7" t="s">
        <v>17</v>
      </c>
      <c r="C235" s="7" t="s">
        <v>26</v>
      </c>
      <c r="D235" s="7">
        <f>TR(C5,"TR.AlcoholProducer","#1 curn=#2 Scale=2 ch:fd transpose:y NULL=BLANK",,C13,C12)</f>
        <v>0</v>
      </c>
      <c r="E235" s="7"/>
      <c r="F235" s="7"/>
      <c r="G235" s="7"/>
      <c r="H235" s="7"/>
      <c r="I235" s="7"/>
    </row>
    <row r="236" spans="2:9" s="10" ht="15">
      <c r="B236" s="7" t="s">
        <v>17</v>
      </c>
      <c r="C236" s="7" t="s">
        <v>26</v>
      </c>
      <c r="D236" s="7">
        <f>TR(C5,"TR.AlcoholProducerOwnershipPct","#1 curn=#2 Scale=2 ch:fd transpose:y NULL=BLANK",,C13,C12)</f>
        <v>0</v>
      </c>
      <c r="E236" s="7"/>
      <c r="F236" s="7"/>
      <c r="G236" s="7"/>
      <c r="H236" s="7"/>
      <c r="I236" s="7"/>
    </row>
    <row r="237" spans="2:9" s="10" ht="15">
      <c r="B237" s="7" t="s">
        <v>17</v>
      </c>
      <c r="C237" s="7" t="s">
        <v>26</v>
      </c>
      <c r="D237" s="7">
        <f>TR(C5,"TR.AlcoholProducerRevenue","#1 curn=#2 Scale=2 ch:fd transpose:y NULL=BLANK",,C13,C12)</f>
        <v>0</v>
      </c>
      <c r="E237" s="7"/>
      <c r="F237" s="7"/>
      <c r="G237" s="7"/>
      <c r="H237" s="7"/>
      <c r="I237" s="7"/>
    </row>
    <row r="238" spans="2:9" s="10" ht="15">
      <c r="B238" s="7" t="s">
        <v>17</v>
      </c>
      <c r="C238" s="7" t="s">
        <v>26</v>
      </c>
      <c r="D238" s="7">
        <f>TR(C5,"TR.OilGasProcessingTransportationDistributionOwnershipPct","#1 curn=#2 Scale=2 ch:fd transpose:y NULL=BLANK",,C13,C12)</f>
        <v>0</v>
      </c>
      <c r="E238" s="7"/>
      <c r="F238" s="7"/>
      <c r="G238" s="7"/>
      <c r="H238" s="7"/>
      <c r="I238" s="7"/>
    </row>
    <row r="239" spans="2:9" s="10" ht="15">
      <c r="B239" s="7" t="s">
        <v>17</v>
      </c>
      <c r="C239" s="7" t="s">
        <v>26</v>
      </c>
      <c r="D239" s="7">
        <f>TR(C5,"TR.AlcoholRetailerOwnershipPct","#1 curn=#2 Scale=2 ch:fd transpose:y NULL=BLANK",,C13,C12)</f>
        <v>0</v>
      </c>
      <c r="E239" s="7"/>
      <c r="F239" s="7"/>
      <c r="G239" s="7"/>
      <c r="H239" s="7"/>
      <c r="I239" s="7"/>
    </row>
    <row r="240" spans="2:9" s="10" ht="15">
      <c r="B240" s="7" t="s">
        <v>17</v>
      </c>
      <c r="C240" s="7" t="s">
        <v>26</v>
      </c>
      <c r="D240" s="7">
        <f>TR(C5,"TR.AlcoholRetailerRevenue","#1 curn=#2 Scale=2 ch:fd transpose:y NULL=BLANK",,C13,C12)</f>
        <v>0</v>
      </c>
      <c r="E240" s="7"/>
      <c r="F240" s="7"/>
      <c r="G240" s="7"/>
      <c r="H240" s="7"/>
      <c r="I240" s="7"/>
    </row>
    <row r="241" spans="2:9" s="10" ht="15">
      <c r="B241" s="7" t="s">
        <v>17</v>
      </c>
      <c r="C241" s="7" t="s">
        <v>26</v>
      </c>
      <c r="D241" s="7">
        <f>TR(C5,"TR.OilGasfiredPowerGenerationOwnershipPct","#1 curn=#2 Scale=2 ch:fd transpose:y NULL=BLANK",,C13,C12)</f>
        <v>0</v>
      </c>
      <c r="E241" s="7"/>
      <c r="F241" s="7"/>
      <c r="G241" s="7"/>
      <c r="H241" s="7"/>
      <c r="I241" s="7"/>
    </row>
    <row r="242" spans="2:9" s="10" ht="15">
      <c r="B242" s="7" t="s">
        <v>17</v>
      </c>
      <c r="C242" s="7" t="s">
        <v>26</v>
      </c>
      <c r="D242" s="7">
        <f>TR(C5,"TR.TobaccoProducer","#1 curn=#2 Scale=2 ch:fd transpose:y NULL=BLANK",,C13,C12)</f>
        <v>0</v>
      </c>
      <c r="E242" s="7"/>
      <c r="F242" s="7"/>
      <c r="G242" s="7"/>
      <c r="H242" s="7"/>
      <c r="I242" s="7"/>
    </row>
    <row r="243" spans="2:9" s="10" ht="15">
      <c r="B243" s="7" t="s">
        <v>17</v>
      </c>
      <c r="C243" s="7" t="s">
        <v>26</v>
      </c>
      <c r="D243" s="7">
        <f>TR(C5,"TR.TobaccoProducerOwnershipPct","#1 curn=#2 Scale=2 ch:fd transpose:y NULL=BLANK",,C13,C12)</f>
        <v>0</v>
      </c>
      <c r="E243" s="7"/>
      <c r="F243" s="7"/>
      <c r="G243" s="7"/>
      <c r="H243" s="7"/>
      <c r="I243" s="7"/>
    </row>
    <row r="244" spans="2:9" s="10" ht="15">
      <c r="B244" s="7" t="s">
        <v>17</v>
      </c>
      <c r="C244" s="7" t="s">
        <v>26</v>
      </c>
      <c r="D244" s="7">
        <f>TR(C5,"TR.TobaccoProducerRevenue","#1 curn=#2 Scale=2 ch:fd transpose:y NULL=BLANK",,C13,C12)</f>
        <v>0</v>
      </c>
      <c r="E244" s="7"/>
      <c r="F244" s="7"/>
      <c r="G244" s="7"/>
      <c r="H244" s="7"/>
      <c r="I244" s="7"/>
    </row>
    <row r="245" spans="2:9" s="10" ht="15">
      <c r="B245" s="7" t="s">
        <v>17</v>
      </c>
      <c r="C245" s="7" t="s">
        <v>26</v>
      </c>
      <c r="D245" s="7">
        <f>TR(C5,"TR.OilfieldServicesOwnershipPct","#1 curn=#2 Scale=2 ch:fd transpose:y NULL=BLANK",,C13,C12)</f>
        <v>0</v>
      </c>
      <c r="E245" s="7"/>
      <c r="F245" s="7"/>
      <c r="G245" s="7"/>
      <c r="H245" s="7"/>
      <c r="I245" s="7"/>
    </row>
    <row r="246" spans="2:9" s="10" ht="15">
      <c r="B246" s="7" t="s">
        <v>17</v>
      </c>
      <c r="C246" s="7" t="s">
        <v>26</v>
      </c>
      <c r="D246" s="7">
        <f>TR(C5,"TR.TobaccoRetailerOwnershipPct","#1 curn=#2 Scale=2 ch:fd transpose:y NULL=BLANK",,C13,C12)</f>
        <v>0</v>
      </c>
      <c r="E246" s="7"/>
      <c r="F246" s="7"/>
      <c r="G246" s="7"/>
      <c r="H246" s="7"/>
      <c r="I246" s="7"/>
    </row>
    <row r="247" spans="2:9" s="10" ht="15">
      <c r="B247" s="7" t="s">
        <v>17</v>
      </c>
      <c r="C247" s="7" t="s">
        <v>26</v>
      </c>
      <c r="D247" s="7">
        <f>TR(C5,"TR.TobaccoRetailerRevenue","#1 curn=#2 Scale=2 ch:fd transpose:y NULL=BLANK",,C13,C12)</f>
        <v>0</v>
      </c>
      <c r="E247" s="7"/>
      <c r="F247" s="7"/>
      <c r="G247" s="7"/>
      <c r="H247" s="7"/>
      <c r="I247" s="7"/>
    </row>
    <row r="248" spans="2:9" s="10" ht="15">
      <c r="B248" s="7" t="s">
        <v>17</v>
      </c>
      <c r="C248" s="7" t="s">
        <v>26</v>
      </c>
      <c r="D248" s="7">
        <f>TR(C5,"TR.MilitaryWeaponsorPersonnelRevenuePercent","#1 curn=#2 Scale=2 ch:fd transpose:y NULL=BLANK",,C13,C12)</f>
        <v>0</v>
      </c>
      <c r="E248" s="7"/>
      <c r="F248" s="7"/>
      <c r="G248" s="7"/>
      <c r="H248" s="7"/>
      <c r="I248" s="7"/>
    </row>
    <row r="249" spans="2:9" s="10" ht="15">
      <c r="B249" s="7" t="s">
        <v>17</v>
      </c>
      <c r="C249" s="7" t="s">
        <v>26</v>
      </c>
      <c r="D249" s="7">
        <f>TR(C5,"TR.GamblingOperatorandProducer","#1 curn=#2 Scale=2 ch:fd transpose:y NULL=BLANK",,C13,C12)</f>
        <v>0</v>
      </c>
      <c r="E249" s="7"/>
      <c r="F249" s="7"/>
      <c r="G249" s="7"/>
      <c r="H249" s="7"/>
      <c r="I249" s="7"/>
    </row>
    <row r="250" spans="2:9" s="10" ht="15">
      <c r="B250" s="7" t="s">
        <v>17</v>
      </c>
      <c r="C250" s="7" t="s">
        <v>26</v>
      </c>
      <c r="D250" s="7">
        <f>TR(C5,"TR.GamblingOperatorandProducerOwnershipPct","#1 curn=#2 Scale=2 ch:fd transpose:y NULL=BLANK",,C13,C12)</f>
        <v>0</v>
      </c>
      <c r="E250" s="7"/>
      <c r="F250" s="7"/>
      <c r="G250" s="7"/>
      <c r="H250" s="7"/>
      <c r="I250" s="7"/>
    </row>
    <row r="251" spans="2:9" s="10" ht="15">
      <c r="B251" s="7" t="s">
        <v>17</v>
      </c>
      <c r="C251" s="7" t="s">
        <v>26</v>
      </c>
      <c r="D251" s="7">
        <f>TR(C5,"TR.GamblingOperatorandProducerRevenue","#1 curn=#2 Scale=2 ch:fd transpose:y NULL=BLANK",,C13,C12)</f>
        <v>0</v>
      </c>
      <c r="E251" s="7"/>
      <c r="F251" s="7"/>
      <c r="G251" s="7"/>
      <c r="H251" s="7"/>
      <c r="I251" s="7"/>
    </row>
    <row r="252" spans="2:9" s="10" ht="15">
      <c r="B252" s="7" t="s">
        <v>17</v>
      </c>
      <c r="C252" s="7" t="s">
        <v>26</v>
      </c>
      <c r="D252" s="7">
        <f>TR(C5,"TR.FirearmsProducerRevenuePercent","#1 curn=#2 Scale=2 ch:fd transpose:y NULL=BLANK",,C13,C12)</f>
        <v>0</v>
      </c>
      <c r="E252" s="7"/>
      <c r="F252" s="7"/>
      <c r="G252" s="7"/>
      <c r="H252" s="7"/>
      <c r="I252" s="7"/>
    </row>
    <row r="253" spans="2:9" s="10" ht="15">
      <c r="B253" s="7" t="s">
        <v>17</v>
      </c>
      <c r="C253" s="7" t="s">
        <v>26</v>
      </c>
      <c r="D253" s="7">
        <f>TR(C5,"TR.GamblingRetailer","#1 curn=#2 Scale=2 ch:fd transpose:y NULL=BLANK",,C13,C12)</f>
        <v>0</v>
      </c>
      <c r="E253" s="7"/>
      <c r="F253" s="7"/>
      <c r="G253" s="7"/>
      <c r="H253" s="7"/>
      <c r="I253" s="7"/>
    </row>
    <row r="254" spans="2:9" s="10" ht="15">
      <c r="B254" s="7" t="s">
        <v>17</v>
      </c>
      <c r="C254" s="7" t="s">
        <v>26</v>
      </c>
      <c r="D254" s="7">
        <f>TR(C5,"TR.GamblingRetailerOwnershipPct","#1 curn=#2 Scale=2 ch:fd transpose:y NULL=BLANK",,C13,C12)</f>
        <v>0</v>
      </c>
      <c r="E254" s="7"/>
      <c r="F254" s="7"/>
      <c r="G254" s="7"/>
      <c r="H254" s="7"/>
      <c r="I254" s="7"/>
    </row>
    <row r="255" spans="2:9" s="10" ht="15">
      <c r="B255" s="7" t="s">
        <v>17</v>
      </c>
      <c r="C255" s="7" t="s">
        <v>26</v>
      </c>
      <c r="D255" s="7">
        <f>TR(C5,"TR.GamblingRetailerRevenue","#1 curn=#2 Scale=2 ch:fd transpose:y NULL=BLANK",,C13,C12)</f>
        <v>0</v>
      </c>
      <c r="E255" s="7"/>
      <c r="F255" s="7"/>
      <c r="G255" s="7"/>
      <c r="H255" s="7"/>
      <c r="I255" s="7"/>
    </row>
    <row r="256" spans="2:9" s="10" ht="15">
      <c r="B256" s="7" t="s">
        <v>17</v>
      </c>
      <c r="C256" s="7" t="s">
        <v>26</v>
      </c>
      <c r="D256" s="7">
        <f>TR(C5,"TR.FirearmsRetailerRevenuePercent","#1 curn=#2 Scale=2 ch:fd transpose:y NULL=BLANK",,C13,C12)</f>
        <v>0</v>
      </c>
      <c r="E256" s="7"/>
      <c r="F256" s="7"/>
      <c r="G256" s="7"/>
      <c r="H256" s="7"/>
      <c r="I256" s="7"/>
    </row>
    <row r="257" spans="2:9" s="10" ht="15">
      <c r="B257" s="7" t="s">
        <v>17</v>
      </c>
      <c r="C257" s="7" t="s">
        <v>26</v>
      </c>
      <c r="D257" s="7">
        <f>TR(C5,"TR.ThermalCoalProducer","#1 curn=#2 Scale=2 ch:fd transpose:y NULL=BLANK",,C13,C12)</f>
        <v>0</v>
      </c>
      <c r="E257" s="7"/>
      <c r="F257" s="7"/>
      <c r="G257" s="7"/>
      <c r="H257" s="7"/>
      <c r="I257" s="7"/>
    </row>
    <row r="258" spans="2:9" s="10" ht="15">
      <c r="B258" s="7" t="s">
        <v>17</v>
      </c>
      <c r="C258" s="7" t="s">
        <v>26</v>
      </c>
      <c r="D258" s="7">
        <f>TR(C5,"TR.ThermalCoalProducerOwnershipPct","#1 curn=#2 Scale=2 ch:fd transpose:y NULL=BLANK",,C13,C12)</f>
        <v>0</v>
      </c>
      <c r="E258" s="7"/>
      <c r="F258" s="7"/>
      <c r="G258" s="7"/>
      <c r="H258" s="7"/>
      <c r="I258" s="7"/>
    </row>
    <row r="259" spans="2:9" s="10" ht="15">
      <c r="B259" s="7" t="s">
        <v>17</v>
      </c>
      <c r="C259" s="7" t="s">
        <v>26</v>
      </c>
      <c r="D259" s="7">
        <f>TR(C5,"TR.ThermalCoalProducerRevenue","#1 curn=#2 Scale=2 ch:fd transpose:y NULL=BLANK",,C13,C12)</f>
        <v>0</v>
      </c>
      <c r="E259" s="7"/>
      <c r="F259" s="7"/>
      <c r="G259" s="7"/>
      <c r="H259" s="7"/>
      <c r="I259" s="7"/>
    </row>
    <row r="260" spans="2:9" s="10" ht="15">
      <c r="B260" s="7" t="s">
        <v>17</v>
      </c>
      <c r="C260" s="7" t="s">
        <v>26</v>
      </c>
      <c r="D260" s="7">
        <f>TR(C5,"TR.AlcoholProducerRevenuePercent","#1 curn=#2 Scale=2 ch:fd transpose:y NULL=BLANK",,C13,C12)</f>
        <v>0</v>
      </c>
      <c r="E260" s="7"/>
      <c r="F260" s="7"/>
      <c r="G260" s="7"/>
      <c r="H260" s="7"/>
      <c r="I260" s="7"/>
    </row>
    <row r="261" spans="2:9" s="10" ht="15">
      <c r="B261" s="7" t="s">
        <v>17</v>
      </c>
      <c r="C261" s="7" t="s">
        <v>26</v>
      </c>
      <c r="D261" s="7">
        <f>TR(C5,"TR.ThermalCoalfiredPowerGeneration","#1 curn=#2 Scale=2 ch:fd transpose:y NULL=BLANK",,C13,C12)</f>
        <v>0</v>
      </c>
      <c r="E261" s="7"/>
      <c r="F261" s="7"/>
      <c r="G261" s="7"/>
      <c r="H261" s="7"/>
      <c r="I261" s="7"/>
    </row>
    <row r="262" spans="2:9" s="10" ht="15">
      <c r="B262" s="7" t="s">
        <v>17</v>
      </c>
      <c r="C262" s="7" t="s">
        <v>26</v>
      </c>
      <c r="D262" s="7">
        <f>TR(C5,"TR.ThermalCoalfiredPowerGenerationOwnershipPct","#1 curn=#2 Scale=2 ch:fd transpose:y NULL=BLANK",,C13,C12)</f>
        <v>0</v>
      </c>
      <c r="E262" s="7"/>
      <c r="F262" s="7"/>
      <c r="G262" s="7"/>
      <c r="H262" s="7"/>
      <c r="I262" s="7"/>
    </row>
    <row r="263" spans="2:9" s="10" ht="15">
      <c r="B263" s="7" t="s">
        <v>17</v>
      </c>
      <c r="C263" s="7" t="s">
        <v>26</v>
      </c>
      <c r="D263" s="7">
        <f>TR(C5,"TR.ThermalCoalfiredPowerGenerationRevenue","#1 curn=#2 Scale=2 ch:fd transpose:y NULL=BLANK",,C13,C12)</f>
        <v>0</v>
      </c>
      <c r="E263" s="7"/>
      <c r="F263" s="7"/>
      <c r="G263" s="7"/>
      <c r="H263" s="7"/>
      <c r="I263" s="7"/>
    </row>
    <row r="264" spans="2:9" s="10" ht="15">
      <c r="B264" s="7" t="s">
        <v>17</v>
      </c>
      <c r="C264" s="7" t="s">
        <v>26</v>
      </c>
      <c r="D264" s="7">
        <f>TR(C5,"TR.AlcoholRetailerRevenuePercent","#1 curn=#2 Scale=2 ch:fd transpose:y NULL=BLANK",,C13,C12)</f>
        <v>0</v>
      </c>
      <c r="E264" s="7"/>
      <c r="F264" s="7"/>
      <c r="G264" s="7"/>
      <c r="H264" s="7"/>
      <c r="I264" s="7"/>
    </row>
    <row r="265" spans="2:9" s="10" ht="15">
      <c r="B265" s="7" t="s">
        <v>17</v>
      </c>
      <c r="C265" s="7" t="s">
        <v>26</v>
      </c>
      <c r="D265" s="7">
        <f>TR(C5,"TR.NuclearPowerGeneration","#1 curn=#2 Scale=2 ch:fd transpose:y NULL=BLANK",,C13,C12)</f>
        <v>0</v>
      </c>
      <c r="E265" s="7"/>
      <c r="F265" s="7"/>
      <c r="G265" s="7"/>
      <c r="H265" s="7"/>
      <c r="I265" s="7"/>
    </row>
    <row r="266" spans="2:9" s="10" ht="15">
      <c r="B266" s="7" t="s">
        <v>17</v>
      </c>
      <c r="C266" s="7" t="s">
        <v>26</v>
      </c>
      <c r="D266" s="7">
        <f>TR(C5,"TR.NuclearPowerGenerationOwnershipPct","#1 curn=#2 Scale=2 ch:fd transpose:y NULL=BLANK",,C13,C12)</f>
        <v>0</v>
      </c>
      <c r="E266" s="7"/>
      <c r="F266" s="7"/>
      <c r="G266" s="7"/>
      <c r="H266" s="7"/>
      <c r="I266" s="7"/>
    </row>
    <row r="267" spans="2:9" s="10" ht="15">
      <c r="B267" s="7" t="s">
        <v>17</v>
      </c>
      <c r="C267" s="7" t="s">
        <v>26</v>
      </c>
      <c r="D267" s="7">
        <f>TR(C5,"TR.NuclearPowerGenerationRevenue","#1 curn=#2 Scale=2 ch:fd transpose:y NULL=BLANK",,C13,C12)</f>
        <v>0</v>
      </c>
      <c r="E267" s="7"/>
      <c r="F267" s="7"/>
      <c r="G267" s="7"/>
      <c r="H267" s="7"/>
      <c r="I267" s="7"/>
    </row>
    <row r="268" spans="2:9" s="10" ht="15">
      <c r="B268" s="7" t="s">
        <v>17</v>
      </c>
      <c r="C268" s="7" t="s">
        <v>26</v>
      </c>
      <c r="D268" s="7">
        <f>TR(C5,"TR.TobaccoProducerRevenuePercent","#1 curn=#2 Scale=2 ch:fd transpose:y NULL=BLANK",,C13,C12)</f>
        <v>0</v>
      </c>
      <c r="E268" s="7"/>
      <c r="F268" s="7"/>
      <c r="G268" s="7"/>
      <c r="H268" s="7"/>
      <c r="I268" s="7"/>
    </row>
    <row r="269" spans="2:9" s="10" ht="15">
      <c r="B269" s="7" t="s">
        <v>17</v>
      </c>
      <c r="C269" s="7" t="s">
        <v>26</v>
      </c>
      <c r="D269" s="7">
        <f>TR(C5,"TR.UraniumMiningandProcessing","#1 curn=#2 Scale=2 ch:fd transpose:y NULL=BLANK",,C13,C12)</f>
        <v>0</v>
      </c>
      <c r="E269" s="7"/>
      <c r="F269" s="7"/>
      <c r="G269" s="7"/>
      <c r="H269" s="7"/>
      <c r="I269" s="7"/>
    </row>
    <row r="270" spans="2:9" s="10" ht="15">
      <c r="B270" s="7" t="s">
        <v>17</v>
      </c>
      <c r="C270" s="7" t="s">
        <v>26</v>
      </c>
      <c r="D270" s="7">
        <f>TR(C5,"TR.UraniumMiningProcessingOwnershipPct","#1 curn=#2 Scale=2 ch:fd transpose:y NULL=BLANK",,C13,C12)</f>
        <v>0</v>
      </c>
      <c r="E270" s="7"/>
      <c r="F270" s="7"/>
      <c r="G270" s="7"/>
      <c r="H270" s="7"/>
      <c r="I270" s="7"/>
    </row>
    <row r="271" spans="2:9" s="10" ht="15">
      <c r="B271" s="7" t="s">
        <v>17</v>
      </c>
      <c r="C271" s="7" t="s">
        <v>26</v>
      </c>
      <c r="D271" s="7">
        <f>TR(C5,"TR.UraniumMiningandProcessingRevenue","#1 curn=#2 Scale=2 ch:fd transpose:y NULL=BLANK",,C13,C12)</f>
        <v>0</v>
      </c>
      <c r="E271" s="7"/>
      <c r="F271" s="7"/>
      <c r="G271" s="7"/>
      <c r="H271" s="7"/>
      <c r="I271" s="7"/>
    </row>
    <row r="272" spans="2:9" s="10" ht="15">
      <c r="B272" s="7" t="s">
        <v>17</v>
      </c>
      <c r="C272" s="7" t="s">
        <v>26</v>
      </c>
      <c r="D272" s="7">
        <f>TR(C5,"TR.TobaccoRetailerRevenuePercent","#1 curn=#2 Scale=2 ch:fd transpose:y NULL=BLANK",,C13,C12)</f>
        <v>0</v>
      </c>
      <c r="E272" s="7"/>
      <c r="F272" s="7"/>
      <c r="G272" s="7"/>
      <c r="H272" s="7"/>
      <c r="I272" s="7"/>
    </row>
    <row r="273" spans="2:9" s="10" ht="15">
      <c r="B273" s="7" t="s">
        <v>17</v>
      </c>
      <c r="C273" s="7" t="s">
        <v>26</v>
      </c>
      <c r="D273" s="7">
        <f>TR(C5,"TR.OilandGasProducer","#1 curn=#2 Scale=2 ch:fd transpose:y NULL=BLANK",,C13,C12)</f>
        <v>0</v>
      </c>
      <c r="E273" s="7"/>
      <c r="F273" s="7"/>
      <c r="G273" s="7"/>
      <c r="H273" s="7"/>
      <c r="I273" s="7"/>
    </row>
    <row r="274" spans="2:9" s="10" ht="15">
      <c r="B274" s="7" t="s">
        <v>17</v>
      </c>
      <c r="C274" s="7" t="s">
        <v>26</v>
      </c>
      <c r="D274" s="7">
        <f>TR(C5,"TR.GamblingOperatorandProducerRevenuePercent","#1 curn=#2 Scale=2 ch:fd transpose:y NULL=BLANK",,C13,C12)</f>
        <v>0</v>
      </c>
      <c r="E274" s="7"/>
      <c r="F274" s="7"/>
      <c r="G274" s="7"/>
      <c r="H274" s="7"/>
      <c r="I274" s="7"/>
    </row>
    <row r="275" spans="2:9" s="10" ht="15">
      <c r="B275" s="7" t="s">
        <v>17</v>
      </c>
      <c r="C275" s="7" t="s">
        <v>26</v>
      </c>
      <c r="D275" s="7">
        <f>TR(C5,"TR.OilandGasProducerRevenue","#1 curn=#2 Scale=2 ch:fd transpose:y NULL=BLANK",,C13,C12)</f>
        <v>0</v>
      </c>
      <c r="E275" s="7"/>
      <c r="F275" s="7"/>
      <c r="G275" s="7"/>
      <c r="H275" s="7"/>
      <c r="I275" s="7"/>
    </row>
    <row r="276" spans="2:9" s="10" ht="15">
      <c r="B276" s="7" t="s">
        <v>17</v>
      </c>
      <c r="C276" s="7" t="s">
        <v>26</v>
      </c>
      <c r="D276" s="7">
        <f>TR(C5,"TR.GamblingRetailerRevenuePercent","#1 curn=#2 Scale=2 ch:fd transpose:y NULL=BLANK",,C13,C12)</f>
        <v>0</v>
      </c>
      <c r="E276" s="7"/>
      <c r="F276" s="7"/>
      <c r="G276" s="7"/>
      <c r="H276" s="7"/>
      <c r="I276" s="7"/>
    </row>
    <row r="277" spans="2:9" s="10" ht="15">
      <c r="B277" s="7" t="s">
        <v>17</v>
      </c>
      <c r="C277" s="7" t="s">
        <v>26</v>
      </c>
      <c r="D277" s="7">
        <f>TR(C5,"TR.OilSandsProducer","#1 curn=#2 Scale=2 ch:fd transpose:y NULL=BLANK",,C13,C12)</f>
        <v>0</v>
      </c>
      <c r="E277" s="7"/>
      <c r="F277" s="7"/>
      <c r="G277" s="7"/>
      <c r="H277" s="7"/>
      <c r="I277" s="7"/>
    </row>
    <row r="278" spans="2:9" s="10" ht="15">
      <c r="B278" s="7" t="s">
        <v>17</v>
      </c>
      <c r="C278" s="7" t="s">
        <v>26</v>
      </c>
      <c r="D278" s="7">
        <f>TR(C5,"TR.ThermalCoalProducerRevenuePercent","#1 curn=#2 Scale=2 ch:fd transpose:y NULL=BLANK",,C13,C12)</f>
        <v>0</v>
      </c>
      <c r="E278" s="7"/>
      <c r="F278" s="7"/>
      <c r="G278" s="7"/>
      <c r="H278" s="7"/>
      <c r="I278" s="7"/>
    </row>
    <row r="279" spans="2:9" s="10" ht="15">
      <c r="B279" s="7" t="s">
        <v>17</v>
      </c>
      <c r="C279" s="7" t="s">
        <v>26</v>
      </c>
      <c r="D279" s="7">
        <f>TR(C5,"TR.OilSandsProducerRevenue","#1 curn=#2 Scale=2 ch:fd transpose:y NULL=BLANK",,C13,C12)</f>
        <v>0</v>
      </c>
      <c r="E279" s="7"/>
      <c r="F279" s="7"/>
      <c r="G279" s="7"/>
      <c r="H279" s="7"/>
      <c r="I279" s="7"/>
    </row>
    <row r="280" spans="2:9" s="10" ht="15">
      <c r="B280" s="7" t="s">
        <v>17</v>
      </c>
      <c r="C280" s="7" t="s">
        <v>26</v>
      </c>
      <c r="D280" s="7">
        <f>TR(C5,"TR.ThermalCoalfiredPowerGenerationRevenuePercent","#1 curn=#2 Scale=2 ch:fd transpose:y NULL=BLANK",,C13,C12)</f>
        <v>0</v>
      </c>
      <c r="E280" s="7"/>
      <c r="F280" s="7"/>
      <c r="G280" s="7"/>
      <c r="H280" s="7"/>
      <c r="I280" s="7"/>
    </row>
    <row r="281" spans="2:9" s="10" ht="15">
      <c r="B281" s="7" t="s">
        <v>17</v>
      </c>
      <c r="C281" s="7" t="s">
        <v>26</v>
      </c>
      <c r="D281" s="7">
        <f>TR(C5,"TR.ArcticOilProducer","#1 curn=#2 Scale=2 ch:fd transpose:y NULL=BLANK",,C13,C12)</f>
        <v>0</v>
      </c>
      <c r="E281" s="7"/>
      <c r="F281" s="7"/>
      <c r="G281" s="7"/>
      <c r="H281" s="7"/>
      <c r="I281" s="7"/>
    </row>
    <row r="282" spans="2:9" s="10" ht="15">
      <c r="B282" s="7" t="s">
        <v>17</v>
      </c>
      <c r="C282" s="7" t="s">
        <v>26</v>
      </c>
      <c r="D282" s="7">
        <f>TR(C5,"TR.NuclearPowerGenerationRevenuePercent","#1 curn=#2 Scale=2 ch:fd transpose:y NULL=BLANK",,C13,C12)</f>
        <v>0</v>
      </c>
      <c r="E282" s="7"/>
      <c r="F282" s="7"/>
      <c r="G282" s="7"/>
      <c r="H282" s="7"/>
      <c r="I282" s="7"/>
    </row>
    <row r="283" spans="2:9" s="10" ht="15">
      <c r="B283" s="7" t="s">
        <v>17</v>
      </c>
      <c r="C283" s="7" t="s">
        <v>26</v>
      </c>
      <c r="D283" s="7">
        <f>TR(C5,"TR.ArcticOilProducerRevenue","#1 curn=#2 Scale=2 ch:fd transpose:y NULL=BLANK",,C13,C12)</f>
        <v>0</v>
      </c>
      <c r="E283" s="7"/>
      <c r="F283" s="7"/>
      <c r="G283" s="7"/>
      <c r="H283" s="7"/>
      <c r="I283" s="7"/>
    </row>
    <row r="284" spans="2:9" s="10" ht="15">
      <c r="B284" s="7" t="s">
        <v>17</v>
      </c>
      <c r="C284" s="7" t="s">
        <v>26</v>
      </c>
      <c r="D284" s="7">
        <f>TR(C5,"TR.UraniumMiningandProcessingRevenuePercent","#1 curn=#2 Scale=2 ch:fd transpose:y NULL=BLANK",,C13,C12)</f>
        <v>0</v>
      </c>
      <c r="E284" s="7"/>
      <c r="F284" s="7"/>
      <c r="G284" s="7"/>
      <c r="H284" s="7"/>
      <c r="I284" s="7"/>
    </row>
    <row r="285" spans="2:9" s="10" ht="15">
      <c r="B285" s="7" t="s">
        <v>17</v>
      </c>
      <c r="C285" s="7" t="s">
        <v>26</v>
      </c>
      <c r="D285" s="7">
        <f>TR(C5,"TR.OilGasProcessingTransportationDistribution","#1 curn=#2 Scale=2 ch:fd transpose:y NULL=BLANK",,C13,C12)</f>
        <v>0</v>
      </c>
      <c r="E285" s="7"/>
      <c r="F285" s="7"/>
      <c r="G285" s="7"/>
      <c r="H285" s="7"/>
      <c r="I285" s="7"/>
    </row>
    <row r="286" spans="2:9" s="10" ht="15">
      <c r="B286" s="7" t="s">
        <v>17</v>
      </c>
      <c r="C286" s="7" t="s">
        <v>26</v>
      </c>
      <c r="D286" s="7">
        <f>TR(C5,"TR.OilandGasProducerRevenuePercent","#1 curn=#2 Scale=2 ch:fd transpose:y NULL=BLANK",,C13,C12)</f>
        <v>0</v>
      </c>
      <c r="E286" s="7"/>
      <c r="F286" s="7"/>
      <c r="G286" s="7"/>
      <c r="H286" s="7"/>
      <c r="I286" s="7"/>
    </row>
    <row r="287" spans="2:9" s="10" ht="15">
      <c r="B287" s="7" t="s">
        <v>17</v>
      </c>
      <c r="C287" s="7" t="s">
        <v>26</v>
      </c>
      <c r="D287" s="7">
        <f>TR(C5,"TR.OilGasProcessingTransportationDistributionRevenue","#1 curn=#2 Scale=2 ch:fd transpose:y NULL=BLANK",,C13,C12)</f>
        <v>0</v>
      </c>
      <c r="E287" s="7"/>
      <c r="F287" s="7"/>
      <c r="G287" s="7"/>
      <c r="H287" s="7"/>
      <c r="I287" s="7"/>
    </row>
    <row r="288" spans="2:9" s="10" ht="15">
      <c r="B288" s="7" t="s">
        <v>17</v>
      </c>
      <c r="C288" s="7" t="s">
        <v>26</v>
      </c>
      <c r="D288" s="7">
        <f>TR(C5,"TR.OilSandsProducerRevenuePercent","#1 curn=#2 Scale=2 ch:fd transpose:y NULL=BLANK",,C13,C12)</f>
        <v>0</v>
      </c>
      <c r="E288" s="7"/>
      <c r="F288" s="7"/>
      <c r="G288" s="7"/>
      <c r="H288" s="7"/>
      <c r="I288" s="7"/>
    </row>
    <row r="289" spans="2:9" s="10" ht="15">
      <c r="B289" s="7" t="s">
        <v>17</v>
      </c>
      <c r="C289" s="7" t="s">
        <v>26</v>
      </c>
      <c r="D289" s="7">
        <f>TR(C5,"TR.OilandGasfiredPowerGeneration","#1 curn=#2 Scale=2 ch:fd transpose:y NULL=BLANK",,C13,C12)</f>
        <v>0</v>
      </c>
      <c r="E289" s="7"/>
      <c r="F289" s="7"/>
      <c r="G289" s="7"/>
      <c r="H289" s="7"/>
      <c r="I289" s="7"/>
    </row>
    <row r="290" spans="2:9" s="10" ht="15">
      <c r="B290" s="7" t="s">
        <v>17</v>
      </c>
      <c r="C290" s="7" t="s">
        <v>26</v>
      </c>
      <c r="D290" s="7">
        <f>TR(C5,"TR.ArcticOilProducerRevenuePercent","#1 curn=#2 Scale=2 ch:fd transpose:y NULL=BLANK",,C13,C12)</f>
        <v>0</v>
      </c>
      <c r="E290" s="7"/>
      <c r="F290" s="7"/>
      <c r="G290" s="7"/>
      <c r="H290" s="7"/>
      <c r="I290" s="7"/>
    </row>
    <row r="291" spans="2:9" s="10" ht="15">
      <c r="B291" s="7" t="s">
        <v>17</v>
      </c>
      <c r="C291" s="7" t="s">
        <v>26</v>
      </c>
      <c r="D291" s="7">
        <f>TR(C5,"TR.OilandGasfiredPowerGenerationRevenue","#1 curn=#2 Scale=2 ch:fd transpose:y NULL=BLANK",,C13,C12)</f>
        <v>0</v>
      </c>
      <c r="E291" s="7"/>
      <c r="F291" s="7"/>
      <c r="G291" s="7"/>
      <c r="H291" s="7"/>
      <c r="I291" s="7"/>
    </row>
    <row r="292" spans="2:9" s="10" ht="15">
      <c r="B292" s="7" t="s">
        <v>17</v>
      </c>
      <c r="C292" s="7" t="s">
        <v>26</v>
      </c>
      <c r="D292" s="7">
        <f>TR(C5,"TR.OilGasProcessingTransportationDistributionRevenuePct","#1 curn=#2 Scale=2 ch:fd transpose:y NULL=BLANK",,C13,C12)</f>
        <v>0</v>
      </c>
      <c r="E292" s="7"/>
      <c r="F292" s="7"/>
      <c r="G292" s="7"/>
      <c r="H292" s="7"/>
      <c r="I292" s="7"/>
    </row>
    <row r="293" spans="2:9" s="10" ht="15">
      <c r="B293" s="7" t="s">
        <v>17</v>
      </c>
      <c r="C293" s="7" t="s">
        <v>26</v>
      </c>
      <c r="D293" s="7">
        <f>TR(C5,"TR.OilfieldServices","#1 curn=#2 Scale=2 ch:fd transpose:y NULL=BLANK",,C13,C12)</f>
        <v>0</v>
      </c>
      <c r="E293" s="7"/>
      <c r="F293" s="7"/>
      <c r="G293" s="7"/>
      <c r="H293" s="7"/>
      <c r="I293" s="7"/>
    </row>
    <row r="294" spans="2:9" s="10" ht="15">
      <c r="B294" s="7" t="s">
        <v>17</v>
      </c>
      <c r="C294" s="7" t="s">
        <v>26</v>
      </c>
      <c r="D294" s="7">
        <f>TR(C5,"TR.OilandGasfiredPowerGenerationRevenuePercent","#1 curn=#2 Scale=2 ch:fd transpose:y NULL=BLANK",,C13,C12)</f>
        <v>0</v>
      </c>
      <c r="E294" s="7"/>
      <c r="F294" s="7"/>
      <c r="G294" s="7"/>
      <c r="H294" s="7"/>
      <c r="I294" s="7"/>
    </row>
    <row r="295" spans="2:9" s="10" ht="15">
      <c r="B295" s="7" t="s">
        <v>17</v>
      </c>
      <c r="C295" s="7" t="s">
        <v>26</v>
      </c>
      <c r="D295" s="7">
        <f>TR(C5,"TR.OilfieldServicesRevenue","#1 curn=#2 Scale=2 ch:fd transpose:y NULL=BLANK",,C13,C12)</f>
        <v>0</v>
      </c>
      <c r="E295" s="7"/>
      <c r="F295" s="7"/>
      <c r="G295" s="7"/>
      <c r="H295" s="7"/>
      <c r="I295" s="7"/>
    </row>
    <row r="296" spans="2:9" s="10" ht="15">
      <c r="B296" s="7" t="s">
        <v>17</v>
      </c>
      <c r="C296" s="7" t="s">
        <v>26</v>
      </c>
      <c r="D296" s="7">
        <f>TR(C5,"TR.OilfieldServicesRevenuePercent","#1 curn=#2 Scale=2 ch:fd transpose:y NULL=BLANK",,C13,C12)</f>
        <v>0</v>
      </c>
      <c r="E296" s="7"/>
      <c r="F296" s="7"/>
      <c r="G296" s="7"/>
      <c r="H296" s="7"/>
      <c r="I296" s="7"/>
    </row>
  </sheetData>
  <pageMargins left="0.5" right="0.5" top="1" bottom="1" header="0.5" footer="0.75"/>
  <pageSetup fitToHeight="0" orientation="portrait"/>
  <headerFooter/>
  <drawing r:id="rId1"/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pageSetUpPr fitToPage="1"/>
  </sheetPr>
  <dimension ref="B1:I195"/>
  <sheetViews>
    <sheetView view="normal" workbookViewId="0">
      <selection pane="topLeft" activeCell="A1" sqref="A1"/>
    </sheetView>
  </sheetViews>
  <sheetFormatPr defaultRowHeight="15" baseColWidth="0"/>
  <cols>
    <col min="1" max="1" width="1.7109375" style="0" customWidth="1"/>
    <col min="2" max="4" width="40.7109375" style="0" customWidth="1"/>
    <col min="5" max="9" width="15.7109375" style="0" customWidth="1"/>
  </cols>
  <sheetData>
    <row r="1" spans="2:9" s="10" customFormat="1" ht="1" customHeight="1">
      <c r="B1"/>
      <c r="C1"/>
      <c r="D1"/>
      <c r="E1"/>
      <c r="F1"/>
      <c r="G1"/>
      <c r="H1"/>
      <c r="I1"/>
    </row>
    <row r="2" spans="2:9" s="10" customFormat="1" ht="45" customHeight="1">
      <c r="B2"/>
      <c r="C2" s="1"/>
      <c r="D2" s="1"/>
      <c r="E2" s="1"/>
      <c r="F2" s="1"/>
      <c r="G2" s="1"/>
      <c r="H2" s="1"/>
      <c r="I2" s="1"/>
    </row>
    <row r="3" spans="2:9" s="10" customFormat="1" ht="45" customHeight="1">
      <c r="B3" s="2" t="s">
        <v>0</v>
      </c>
      <c r="C3" s="3"/>
      <c r="D3" s="3"/>
      <c r="E3" s="3"/>
      <c r="F3" s="3"/>
      <c r="G3" s="3"/>
      <c r="H3" s="3"/>
      <c r="I3" s="3"/>
    </row>
    <row r="4" spans="2:9" s="10" customFormat="1" ht="45" customHeight="1">
      <c r="B4" s="2" t="s">
        <v>27</v>
      </c>
      <c r="C4" s="3"/>
      <c r="D4" s="3"/>
      <c r="E4" s="3"/>
      <c r="F4" s="3"/>
      <c r="G4" s="3"/>
      <c r="H4" s="3"/>
      <c r="I4" s="3"/>
    </row>
    <row r="5" spans="2:9" s="10" ht="15">
      <c r="B5" s="1" t="s">
        <v>2</v>
      </c>
      <c r="C5" s="1" t="s">
        <v>3</v>
      </c>
      <c r="D5" s="1"/>
      <c r="E5" s="1"/>
      <c r="F5" s="1"/>
      <c r="G5" s="1"/>
      <c r="H5" s="1"/>
      <c r="I5" s="1"/>
    </row>
    <row r="6" spans="2:9" s="10" ht="15">
      <c r="B6" s="1" t="s">
        <v>4</v>
      </c>
      <c r="C6" s="1">
        <f>TR(C5,"TR.InstrumentDescription","NULL=BLANK")</f>
        <v>0</v>
      </c>
      <c r="D6" s="1"/>
      <c r="E6" s="1"/>
      <c r="F6" s="1"/>
      <c r="G6" s="1"/>
      <c r="H6" s="1"/>
      <c r="I6" s="1"/>
    </row>
    <row r="7" spans="2:9" s="10" ht="15">
      <c r="B7" s="1" t="s">
        <v>5</v>
      </c>
      <c r="C7" s="1">
        <f>TR(C5,"TR.HeadquartersCountry","NULL=BLANK")</f>
        <v>0</v>
      </c>
      <c r="D7" s="1"/>
      <c r="E7" s="1"/>
      <c r="F7" s="1"/>
      <c r="G7" s="1"/>
      <c r="H7" s="1"/>
      <c r="I7" s="1"/>
    </row>
    <row r="8" spans="2:9" s="10" ht="15">
      <c r="B8" s="1" t="s">
        <v>6</v>
      </c>
      <c r="C8" s="1">
        <f>TR(C5,"TR.GICSSector","NULL=BLANK")</f>
        <v>0</v>
      </c>
      <c r="D8" s="1"/>
      <c r="E8" s="1"/>
      <c r="F8" s="1"/>
      <c r="G8" s="1"/>
      <c r="H8" s="1"/>
      <c r="I8" s="1"/>
    </row>
    <row r="9" spans="2:9" s="10" ht="15">
      <c r="B9" s="1" t="s">
        <v>7</v>
      </c>
      <c r="C9" s="1">
        <f>TR(C5,"TR.TRBCIndustryGroup","NULL=BLANK")</f>
        <v>0</v>
      </c>
      <c r="D9" s="1"/>
      <c r="E9" s="1"/>
      <c r="F9" s="1"/>
      <c r="G9" s="1"/>
      <c r="H9" s="1"/>
      <c r="I9" s="1"/>
    </row>
    <row r="10" spans="2:9" s="10" ht="15">
      <c r="B10" s="1" t="s">
        <v>8</v>
      </c>
      <c r="C10" s="1">
        <v>5</v>
      </c>
      <c r="D10" s="1"/>
      <c r="E10" s="1"/>
      <c r="F10" s="1"/>
      <c r="G10" s="1"/>
      <c r="H10" s="1"/>
      <c r="I10" s="1"/>
    </row>
    <row r="11" spans="2:9" s="10" ht="15">
      <c r="B11" s="1" t="s">
        <v>9</v>
      </c>
      <c r="C11" s="1" t="s">
        <v>10</v>
      </c>
      <c r="D11" s="1"/>
      <c r="E11" s="1"/>
      <c r="F11" s="1"/>
      <c r="G11" s="1"/>
      <c r="H11" s="1"/>
      <c r="I11" s="1"/>
    </row>
    <row r="12" spans="2:9" s="10" ht="15">
      <c r="B12" s="1" t="s">
        <v>11</v>
      </c>
      <c r="C12" s="1" t="s">
        <v>12</v>
      </c>
      <c r="D12" s="1"/>
      <c r="E12" s="1"/>
      <c r="F12" s="1"/>
      <c r="G12" s="1"/>
      <c r="H12" s="1"/>
      <c r="I12" s="1"/>
    </row>
    <row r="13" spans="2:9" s="10" ht="15">
      <c r="B13" s="1" t="s">
        <v>13</v>
      </c>
      <c r="C13" s="1">
        <f>IF(C11="Left","Period=FY0 Sdate=0FY Edate=-"&amp;C10-1&amp;"FY FRQ=FY","Period=FY0 Sdate=-"&amp;C10-1&amp;"FY Edate=0FY FRQ=FY")</f>
        <v>0</v>
      </c>
      <c r="D13" s="1"/>
      <c r="E13" s="1"/>
      <c r="F13" s="1"/>
      <c r="G13" s="1"/>
      <c r="H13" s="1"/>
      <c r="I13" s="1"/>
    </row>
    <row r="14" spans="2:9" s="10" ht="15">
      <c r="B14" s="1"/>
      <c r="C14" s="1"/>
      <c r="D14" s="1"/>
      <c r="E14" s="1"/>
      <c r="F14" s="1"/>
      <c r="G14" s="1"/>
      <c r="H14" s="1"/>
      <c r="I14" s="1"/>
    </row>
    <row r="15" spans="2:9" s="10" ht="15">
      <c r="B15" s="4" t="s">
        <v>15</v>
      </c>
      <c r="C15" s="4" t="s">
        <v>16</v>
      </c>
      <c r="D15" s="4">
        <f>TR(C5,"TR.TRESGSCORE.Periodenddate","#1 transpose:y NULL=BLANK",INDIRECT(ADDRESS(ROW(),COLUMN()+1)&amp;":"&amp;ADDRESS(ROW(),COLUMN()+100)),C13)</f>
        <v>0</v>
      </c>
      <c r="E15" s="4"/>
      <c r="F15" s="4"/>
      <c r="G15" s="4"/>
      <c r="H15" s="4"/>
      <c r="I15" s="4"/>
    </row>
    <row r="16" spans="2:9" s="10" ht="15">
      <c r="B16" s="6"/>
      <c r="C16" s="6" t="s">
        <v>1</v>
      </c>
      <c r="D16" s="6">
        <f>TR(C5,"TR.TRESGCScore","#1 curn=#2 Scale=2 ch:fd transpose:y NULL=BLANK",,C13,C12)</f>
        <v>0</v>
      </c>
      <c r="E16" s="6"/>
      <c r="F16" s="6"/>
      <c r="G16" s="6"/>
      <c r="H16" s="6"/>
      <c r="I16" s="6"/>
    </row>
    <row r="17" spans="2:9" s="10" ht="15">
      <c r="B17" s="6"/>
      <c r="C17" s="6" t="s">
        <v>1</v>
      </c>
      <c r="D17" s="6">
        <f>TR(C5,"TR.TRESGScore","#1 curn=#2 Scale=2 ch:fd transpose:y NULL=BLANK",,C13,C12)</f>
        <v>0</v>
      </c>
      <c r="E17" s="6"/>
      <c r="F17" s="6"/>
      <c r="G17" s="6"/>
      <c r="H17" s="6"/>
      <c r="I17" s="6"/>
    </row>
    <row r="18" spans="2:9" s="10" ht="15">
      <c r="B18" s="6"/>
      <c r="C18" s="6" t="s">
        <v>1</v>
      </c>
      <c r="D18" s="6">
        <f>TR(C5,"TR.TRESGCControversiesScore","#1 curn=#2 Scale=2 ch:fd transpose:y NULL=BLANK",,C13,C12)</f>
        <v>0</v>
      </c>
      <c r="E18" s="6"/>
      <c r="F18" s="6"/>
      <c r="G18" s="6"/>
      <c r="H18" s="6"/>
      <c r="I18" s="6"/>
    </row>
    <row r="19" spans="2:9" s="10" ht="15">
      <c r="B19" s="7" t="s">
        <v>19</v>
      </c>
      <c r="C19" s="7" t="s">
        <v>28</v>
      </c>
      <c r="D19" s="7">
        <f>TR(C5,"TR.AnalyticBoardFunctionsPolicy","#1 curn=#2 Scale=2 ch:fd transpose:y NULL=BLANK",,C13,C12)</f>
        <v>0</v>
      </c>
      <c r="E19" s="7"/>
      <c r="F19" s="7"/>
      <c r="G19" s="7"/>
      <c r="H19" s="7"/>
      <c r="I19" s="7"/>
    </row>
    <row r="20" spans="2:9" s="10" ht="15">
      <c r="B20" s="7" t="s">
        <v>17</v>
      </c>
      <c r="C20" s="7" t="s">
        <v>28</v>
      </c>
      <c r="D20" s="7">
        <f>TR(C5,"TR.CorporateGovernanceComm","#1 curn=#2 Scale=2 ch:fd transpose:y NULL=BLANK",,C13,C12)</f>
        <v>0</v>
      </c>
      <c r="E20" s="7"/>
      <c r="F20" s="7"/>
      <c r="G20" s="7"/>
      <c r="H20" s="7"/>
      <c r="I20" s="7"/>
    </row>
    <row r="21" spans="2:9" s="10" ht="15">
      <c r="B21" s="7" t="s">
        <v>17</v>
      </c>
      <c r="C21" s="7" t="s">
        <v>28</v>
      </c>
      <c r="D21" s="7">
        <f>TR(C5,"TR.NominationComm","#1 curn=#2 Scale=2 ch:fd transpose:y NULL=BLANK",,C13,C12)</f>
        <v>0</v>
      </c>
      <c r="E21" s="7"/>
      <c r="F21" s="7"/>
      <c r="G21" s="7"/>
      <c r="H21" s="7"/>
      <c r="I21" s="7"/>
    </row>
    <row r="22" spans="2:9" s="10" ht="15">
      <c r="B22" s="7" t="s">
        <v>17</v>
      </c>
      <c r="C22" s="7" t="s">
        <v>28</v>
      </c>
      <c r="D22" s="7">
        <f>TR(C5,"TR.AuditComm","#1 curn=#2 Scale=2 ch:fd transpose:y NULL=BLANK",,C13,C12)</f>
        <v>0</v>
      </c>
      <c r="E22" s="7"/>
      <c r="F22" s="7"/>
      <c r="G22" s="7"/>
      <c r="H22" s="7"/>
      <c r="I22" s="7"/>
    </row>
    <row r="23" spans="2:9" s="10" ht="15">
      <c r="B23" s="7" t="s">
        <v>17</v>
      </c>
      <c r="C23" s="7" t="s">
        <v>28</v>
      </c>
      <c r="D23" s="7">
        <f>TR(C5,"TR.CompComm","#1 curn=#2 Scale=2 ch:fd transpose:y NULL=BLANK",,C13,C12)</f>
        <v>0</v>
      </c>
      <c r="E23" s="7"/>
      <c r="F23" s="7"/>
      <c r="G23" s="7"/>
      <c r="H23" s="7"/>
      <c r="I23" s="7"/>
    </row>
    <row r="24" spans="2:9" s="10" ht="15">
      <c r="B24" s="7" t="s">
        <v>19</v>
      </c>
      <c r="C24" s="7" t="s">
        <v>28</v>
      </c>
      <c r="D24" s="7">
        <f>TR(C5,"TR.AnalyticBoardStructurePolicy","#1 curn=#2 Scale=2 ch:fd transpose:y NULL=BLANK",,C13,C12)</f>
        <v>0</v>
      </c>
      <c r="E24" s="7"/>
      <c r="F24" s="7"/>
      <c r="G24" s="7"/>
      <c r="H24" s="7"/>
      <c r="I24" s="7"/>
    </row>
    <row r="25" spans="2:9" s="10" ht="15">
      <c r="B25" s="7" t="s">
        <v>17</v>
      </c>
      <c r="C25" s="7" t="s">
        <v>28</v>
      </c>
      <c r="D25" s="7">
        <f>TR(C5,"TR.PolicyBoardSize","#1 curn=#2 Scale=2 ch:fd transpose:y NULL=BLANK",,C13,C12)</f>
        <v>0</v>
      </c>
      <c r="E25" s="7"/>
      <c r="F25" s="7"/>
      <c r="G25" s="7"/>
      <c r="H25" s="7"/>
      <c r="I25" s="7"/>
    </row>
    <row r="26" spans="2:9" s="10" ht="15">
      <c r="B26" s="7" t="s">
        <v>17</v>
      </c>
      <c r="C26" s="7" t="s">
        <v>28</v>
      </c>
      <c r="D26" s="7">
        <f>TR(C5,"TR.PolicyBoardInd","#1 curn=#2 Scale=2 ch:fd transpose:y NULL=BLANK",,C13,C12)</f>
        <v>0</v>
      </c>
      <c r="E26" s="7"/>
      <c r="F26" s="7"/>
      <c r="G26" s="7"/>
      <c r="H26" s="7"/>
      <c r="I26" s="7"/>
    </row>
    <row r="27" spans="2:9" s="10" ht="15">
      <c r="B27" s="7" t="s">
        <v>17</v>
      </c>
      <c r="C27" s="7" t="s">
        <v>28</v>
      </c>
      <c r="D27" s="7">
        <f>TR(C5,"TR.PolicyBoardDiversity","#1 curn=#2 Scale=2 ch:fd transpose:y NULL=BLANK",,C13,C12)</f>
        <v>0</v>
      </c>
      <c r="E27" s="7"/>
      <c r="F27" s="7"/>
      <c r="G27" s="7"/>
      <c r="H27" s="7"/>
      <c r="I27" s="7"/>
    </row>
    <row r="28" spans="2:9" s="10" ht="15">
      <c r="B28" s="7" t="s">
        <v>17</v>
      </c>
      <c r="C28" s="7" t="s">
        <v>28</v>
      </c>
      <c r="D28" s="7">
        <f>TR(C5,"TR.PolicyBoardExperience","#1 curn=#2 Scale=2 ch:fd transpose:y NULL=BLANK",,C13,C12)</f>
        <v>0</v>
      </c>
      <c r="E28" s="7"/>
      <c r="F28" s="7"/>
      <c r="G28" s="7"/>
      <c r="H28" s="7"/>
      <c r="I28" s="7"/>
    </row>
    <row r="29" spans="2:9" s="10" ht="15">
      <c r="B29" s="7" t="s">
        <v>17</v>
      </c>
      <c r="C29" s="7" t="s">
        <v>28</v>
      </c>
      <c r="D29" s="7">
        <f>TR(C5,"TR.PolicyExecCompPerformance","#1 curn=#2 Scale=2 ch:fd transpose:y NULL=BLANK",,C13,C12)</f>
        <v>0</v>
      </c>
      <c r="E29" s="7"/>
      <c r="F29" s="7"/>
      <c r="G29" s="7"/>
      <c r="H29" s="7"/>
      <c r="I29" s="7"/>
    </row>
    <row r="30" spans="2:9" s="10" ht="15">
      <c r="B30" s="7" t="s">
        <v>17</v>
      </c>
      <c r="C30" s="7" t="s">
        <v>28</v>
      </c>
      <c r="D30" s="7">
        <f>TR(C5,"TR.PolicyExecCompESGPerformance","#1 curn=#2 Scale=2 ch:fd transpose:y NULL=BLANK",,C13,C12)</f>
        <v>0</v>
      </c>
      <c r="E30" s="7"/>
      <c r="F30" s="7"/>
      <c r="G30" s="7"/>
      <c r="H30" s="7"/>
      <c r="I30" s="7"/>
    </row>
    <row r="31" spans="2:9" s="10" ht="15">
      <c r="B31" s="7" t="s">
        <v>17</v>
      </c>
      <c r="C31" s="7" t="s">
        <v>28</v>
      </c>
      <c r="D31" s="7">
        <f>TR(C5,"TR.PolicyExecRetention","#1 curn=#2 Scale=2 ch:fd transpose:y NULL=BLANK",,C13,C12)</f>
        <v>0</v>
      </c>
      <c r="E31" s="7"/>
      <c r="F31" s="7"/>
      <c r="G31" s="7"/>
      <c r="H31" s="7"/>
      <c r="I31" s="7"/>
    </row>
    <row r="32" spans="2:9" s="10" ht="15">
      <c r="B32" s="7" t="s">
        <v>19</v>
      </c>
      <c r="C32" s="7" t="s">
        <v>28</v>
      </c>
      <c r="D32" s="7">
        <f>TR(C5,"TR.ImprovementToolsExecComp","#1 curn=#2 Scale=2 ch:fd transpose:y NULL=BLANK",,C13,C12)</f>
        <v>0</v>
      </c>
      <c r="E32" s="7"/>
      <c r="F32" s="7"/>
      <c r="G32" s="7"/>
      <c r="H32" s="7"/>
      <c r="I32" s="7"/>
    </row>
    <row r="33" spans="2:9" s="10" ht="15">
      <c r="B33" s="7" t="s">
        <v>19</v>
      </c>
      <c r="C33" s="7" t="s">
        <v>28</v>
      </c>
      <c r="D33" s="7">
        <f>TR(C5,"TR.InternalAuditDepReporting","#1 curn=#2 Scale=2 ch:fd transpose:y NULL=BLANK",,C13,C12)</f>
        <v>0</v>
      </c>
      <c r="E33" s="7"/>
      <c r="F33" s="7"/>
      <c r="G33" s="7"/>
      <c r="H33" s="7"/>
      <c r="I33" s="7"/>
    </row>
    <row r="34" spans="2:9" s="10" ht="15">
      <c r="B34" s="7" t="s">
        <v>19</v>
      </c>
      <c r="C34" s="7" t="s">
        <v>28</v>
      </c>
      <c r="D34" s="7">
        <f>TR(C5,"TR.BoardSuccessionPlan","#1 curn=#2 Scale=2 ch:fd transpose:y NULL=BLANK",,C13,C12)</f>
        <v>0</v>
      </c>
      <c r="E34" s="7"/>
      <c r="F34" s="7"/>
      <c r="G34" s="7"/>
      <c r="H34" s="7"/>
      <c r="I34" s="7"/>
    </row>
    <row r="35" spans="2:9" s="10" ht="15">
      <c r="B35" s="7" t="s">
        <v>19</v>
      </c>
      <c r="C35" s="7" t="s">
        <v>28</v>
      </c>
      <c r="D35" s="7">
        <f>TR(C5,"TR.BoardExternalConsultants","#1 curn=#2 Scale=2 ch:fd transpose:y NULL=BLANK",,C13,C12)</f>
        <v>0</v>
      </c>
      <c r="E35" s="7"/>
      <c r="F35" s="7"/>
      <c r="G35" s="7"/>
      <c r="H35" s="7"/>
      <c r="I35" s="7"/>
    </row>
    <row r="36" spans="2:9" s="10" ht="15">
      <c r="B36" s="7" t="s">
        <v>19</v>
      </c>
      <c r="C36" s="7" t="s">
        <v>28</v>
      </c>
      <c r="D36" s="7">
        <f>TR(C5,"TR.AnalyticAuditCommInd","#1 curn=#2 Scale=2 ch:fd transpose:y NULL=BLANK",,C13,C12)</f>
        <v>0</v>
      </c>
      <c r="E36" s="7"/>
      <c r="F36" s="7"/>
      <c r="G36" s="7"/>
      <c r="H36" s="7"/>
      <c r="I36" s="7"/>
    </row>
    <row r="37" spans="2:9" s="10" ht="15">
      <c r="B37" s="7" t="s">
        <v>19</v>
      </c>
      <c r="C37" s="7" t="s">
        <v>28</v>
      </c>
      <c r="D37" s="7">
        <f>TR(C5,"TR.AnalyticAuditCommMgtInd","#1 curn=#2 Scale=2 ch:fd transpose:y NULL=BLANK",,C13,C12)</f>
        <v>0</v>
      </c>
      <c r="E37" s="7"/>
      <c r="F37" s="7"/>
      <c r="G37" s="7"/>
      <c r="H37" s="7"/>
      <c r="I37" s="7"/>
    </row>
    <row r="38" spans="2:9" s="10" ht="15">
      <c r="B38" s="7" t="s">
        <v>17</v>
      </c>
      <c r="C38" s="7" t="s">
        <v>28</v>
      </c>
      <c r="D38" s="7">
        <f>TR(C5,"TR.AnalyticAuditCommExpertise","#1 curn=#2 Scale=2 ch:fd transpose:y NULL=BLANK",,C13,C12)</f>
        <v>0</v>
      </c>
      <c r="E38" s="7"/>
      <c r="F38" s="7"/>
      <c r="G38" s="7"/>
      <c r="H38" s="7"/>
      <c r="I38" s="7"/>
    </row>
    <row r="39" spans="2:9" s="10" ht="15">
      <c r="B39" s="7" t="s">
        <v>17</v>
      </c>
      <c r="C39" s="7" t="s">
        <v>28</v>
      </c>
      <c r="D39" s="7">
        <f>TR(C5,"TR.AuditCommNonExecMembers","#1 curn=#2 Scale=2 ch:fd transpose:y NULL=BLANK",,C13,C12)</f>
        <v>0</v>
      </c>
      <c r="E39" s="7"/>
      <c r="F39" s="7"/>
      <c r="G39" s="7"/>
      <c r="H39" s="7"/>
      <c r="I39" s="7"/>
    </row>
    <row r="40" spans="2:9" s="10" ht="15">
      <c r="B40" s="7" t="s">
        <v>19</v>
      </c>
      <c r="C40" s="7" t="s">
        <v>28</v>
      </c>
      <c r="D40" s="7">
        <f>TR(C5,"TR.AnalyticCompCommInd","#1 curn=#2 Scale=2 ch:fd transpose:y NULL=BLANK",,C13,C12)</f>
        <v>0</v>
      </c>
      <c r="E40" s="7"/>
      <c r="F40" s="7"/>
      <c r="G40" s="7"/>
      <c r="H40" s="7"/>
      <c r="I40" s="7"/>
    </row>
    <row r="41" spans="2:9" s="10" ht="15">
      <c r="B41" s="7" t="s">
        <v>19</v>
      </c>
      <c r="C41" s="7" t="s">
        <v>28</v>
      </c>
      <c r="D41" s="7">
        <f>TR(C5,"TR.AnalyticCompCommMgtInd","#1 curn=#2 Scale=2 ch:fd transpose:y NULL=BLANK",,C13,C12)</f>
        <v>0</v>
      </c>
      <c r="E41" s="7"/>
      <c r="F41" s="7"/>
      <c r="G41" s="7"/>
      <c r="H41" s="7"/>
      <c r="I41" s="7"/>
    </row>
    <row r="42" spans="2:9" s="10" ht="15">
      <c r="B42" s="7" t="s">
        <v>17</v>
      </c>
      <c r="C42" s="7" t="s">
        <v>28</v>
      </c>
      <c r="D42" s="7">
        <f>TR(C5,"TR.CompCommNonExecMembers","#1 curn=#2 Scale=2 ch:fd transpose:y NULL=BLANK",,C13,C12)</f>
        <v>0</v>
      </c>
      <c r="E42" s="7"/>
      <c r="F42" s="7"/>
      <c r="G42" s="7"/>
      <c r="H42" s="7"/>
      <c r="I42" s="7"/>
    </row>
    <row r="43" spans="2:9" s="10" ht="15">
      <c r="B43" s="7" t="s">
        <v>19</v>
      </c>
      <c r="C43" s="7" t="s">
        <v>28</v>
      </c>
      <c r="D43" s="7">
        <f>TR(C5,"TR.AnalyticNominationCommInd","#1 curn=#2 Scale=2 ch:fd transpose:y NULL=BLANK",,C13,C12)</f>
        <v>0</v>
      </c>
      <c r="E43" s="7"/>
      <c r="F43" s="7"/>
      <c r="G43" s="7"/>
      <c r="H43" s="7"/>
      <c r="I43" s="7"/>
    </row>
    <row r="44" spans="2:9" s="10" ht="15">
      <c r="B44" s="7" t="s">
        <v>17</v>
      </c>
      <c r="C44" s="7" t="s">
        <v>28</v>
      </c>
      <c r="D44" s="7">
        <f>TR(C5,"TR.AnalyticNominationCommMgtInd","#1 curn=#2 Scale=2 ch:fd transpose:y NULL=BLANK",,C13,C12)</f>
        <v>0</v>
      </c>
      <c r="E44" s="7"/>
      <c r="F44" s="7"/>
      <c r="G44" s="7"/>
      <c r="H44" s="7"/>
      <c r="I44" s="7"/>
    </row>
    <row r="45" spans="2:9" s="10" ht="15">
      <c r="B45" s="7" t="s">
        <v>19</v>
      </c>
      <c r="C45" s="7" t="s">
        <v>28</v>
      </c>
      <c r="D45" s="7">
        <f>TR(C5,"TR.AnalyticNomCommInvolvment","#1 curn=#2 Scale=2 ch:fd transpose:y NULL=BLANK",,C13,C12)</f>
        <v>0</v>
      </c>
      <c r="E45" s="7"/>
      <c r="F45" s="7"/>
      <c r="G45" s="7"/>
      <c r="H45" s="7"/>
      <c r="I45" s="7"/>
    </row>
    <row r="46" spans="2:9" s="10" ht="15">
      <c r="B46" s="7" t="s">
        <v>17</v>
      </c>
      <c r="C46" s="7" t="s">
        <v>28</v>
      </c>
      <c r="D46" s="7">
        <f>TR(C5,"TR.NominationCommNonExecMembers","#1 curn=#2 Scale=2 ch:fd transpose:y NULL=BLANK",,C13,C12)</f>
        <v>0</v>
      </c>
      <c r="E46" s="7"/>
      <c r="F46" s="7"/>
      <c r="G46" s="7"/>
      <c r="H46" s="7"/>
      <c r="I46" s="7"/>
    </row>
    <row r="47" spans="2:9" s="10" ht="15">
      <c r="B47" s="7" t="s">
        <v>19</v>
      </c>
      <c r="C47" s="7" t="s">
        <v>28</v>
      </c>
      <c r="D47" s="7">
        <f>TR(C5,"TR.AnalyticBoardAttendance","#1 curn=#2 Scale=2 ch:fd transpose:y NULL=BLANK",,C13,C12)</f>
        <v>0</v>
      </c>
      <c r="E47" s="7"/>
      <c r="F47" s="7"/>
      <c r="G47" s="7"/>
      <c r="H47" s="7"/>
      <c r="I47" s="7"/>
    </row>
    <row r="48" spans="2:9" s="10" ht="15">
      <c r="B48" s="7" t="s">
        <v>17</v>
      </c>
      <c r="C48" s="7" t="s">
        <v>28</v>
      </c>
      <c r="D48" s="7">
        <f>TR(C5,"TR.BoardMeetings","#1 curn=#2 Scale=2 ch:fd transpose:y NULL=BLANK",,C13,C12)</f>
        <v>0</v>
      </c>
      <c r="E48" s="7"/>
      <c r="F48" s="7"/>
      <c r="G48" s="7"/>
      <c r="H48" s="7"/>
      <c r="I48" s="7"/>
    </row>
    <row r="49" spans="2:9" s="10" ht="15">
      <c r="B49" s="7" t="s">
        <v>19</v>
      </c>
      <c r="C49" s="7" t="s">
        <v>28</v>
      </c>
      <c r="D49" s="7">
        <f>TR(C5,"TR.BoardMeetingAttendanceAvg","#1 curn=#2 Scale=2 ch:fd transpose:y NULL=BLANK",,C13,C12)</f>
        <v>0</v>
      </c>
      <c r="E49" s="7"/>
      <c r="F49" s="7"/>
      <c r="G49" s="7"/>
      <c r="H49" s="7"/>
      <c r="I49" s="7"/>
    </row>
    <row r="50" spans="2:9" s="10" ht="15">
      <c r="B50" s="7" t="s">
        <v>17</v>
      </c>
      <c r="C50" s="7" t="s">
        <v>28</v>
      </c>
      <c r="D50" s="7">
        <f>TR(C5,"TR.CommMeetingsAttendanceAvg","#1 curn=#2 Scale=2 ch:fd transpose:y NULL=BLANK",,C13,C12)</f>
        <v>0</v>
      </c>
      <c r="E50" s="7"/>
      <c r="F50" s="7"/>
      <c r="G50" s="7"/>
      <c r="H50" s="7"/>
      <c r="I50" s="7"/>
    </row>
    <row r="51" spans="2:9" s="10" ht="15">
      <c r="B51" s="7" t="s">
        <v>17</v>
      </c>
      <c r="C51" s="7" t="s">
        <v>28</v>
      </c>
      <c r="D51" s="7">
        <f>TR(C5,"TR.BoardStructureType","#1 curn=#2 Scale=2 ch:fd transpose:y NULL=BLANK",,C13,C12)</f>
        <v>0</v>
      </c>
      <c r="E51" s="7"/>
      <c r="F51" s="7"/>
      <c r="G51" s="7"/>
      <c r="H51" s="7"/>
      <c r="I51" s="7"/>
    </row>
    <row r="52" spans="2:9" s="10" ht="15">
      <c r="B52" s="7" t="s">
        <v>19</v>
      </c>
      <c r="C52" s="7" t="s">
        <v>28</v>
      </c>
      <c r="D52" s="7">
        <f>TR(C5,"TR.AnalyticBoardSizeMore10Less8","#1 curn=#2 Scale=2 ch:fd transpose:y NULL=BLANK",,C13,C12)</f>
        <v>0</v>
      </c>
      <c r="E52" s="7"/>
      <c r="F52" s="7"/>
      <c r="G52" s="7"/>
      <c r="H52" s="7"/>
      <c r="I52" s="7"/>
    </row>
    <row r="53" spans="2:9" s="10" ht="15">
      <c r="B53" s="7" t="s">
        <v>17</v>
      </c>
      <c r="C53" s="7" t="s">
        <v>28</v>
      </c>
      <c r="D53" s="7">
        <f>TR(C5,"TR.BoardSize","#1 curn=#2 Scale=2 ch:fd transpose:y NULL=BLANK",,C13,C12)</f>
        <v>0</v>
      </c>
      <c r="E53" s="7"/>
      <c r="F53" s="7"/>
      <c r="G53" s="7"/>
      <c r="H53" s="7"/>
      <c r="I53" s="7"/>
    </row>
    <row r="54" spans="2:9" s="10" ht="15">
      <c r="B54" s="7" t="s">
        <v>19</v>
      </c>
      <c r="C54" s="7" t="s">
        <v>28</v>
      </c>
      <c r="D54" s="7">
        <f>TR(C5,"TR.AnalyticBoardBackground","#1 curn=#2 Scale=2 ch:fd transpose:y NULL=BLANK",,C13,C12)</f>
        <v>0</v>
      </c>
      <c r="E54" s="7"/>
      <c r="F54" s="7"/>
      <c r="G54" s="7"/>
      <c r="H54" s="7"/>
      <c r="I54" s="7"/>
    </row>
    <row r="55" spans="2:9" s="10" ht="15">
      <c r="B55" s="7" t="s">
        <v>19</v>
      </c>
      <c r="C55" s="7" t="s">
        <v>28</v>
      </c>
      <c r="D55" s="7">
        <f>TR(C5,"TR.AnalyticBoardFemale","#1 curn=#2 Scale=2 ch:fd transpose:y NULL=BLANK",,C13,C12)</f>
        <v>0</v>
      </c>
      <c r="E55" s="7"/>
      <c r="F55" s="7"/>
      <c r="G55" s="7"/>
      <c r="H55" s="7"/>
      <c r="I55" s="7"/>
    </row>
    <row r="56" spans="2:9" s="10" ht="15">
      <c r="B56" s="7" t="s">
        <v>19</v>
      </c>
      <c r="C56" s="7" t="s">
        <v>28</v>
      </c>
      <c r="D56" s="7">
        <f>TR(C5,"TR.AnalyticBoardSpecificSkills","#1 curn=#2 Scale=2 ch:fd transpose:y NULL=BLANK",,C13,C12)</f>
        <v>0</v>
      </c>
      <c r="E56" s="7"/>
      <c r="F56" s="7"/>
      <c r="G56" s="7"/>
      <c r="H56" s="7"/>
      <c r="I56" s="7"/>
    </row>
    <row r="57" spans="2:9" s="10" ht="15">
      <c r="B57" s="7" t="s">
        <v>19</v>
      </c>
      <c r="C57" s="7" t="s">
        <v>28</v>
      </c>
      <c r="D57" s="7">
        <f>TR(C5,"TR.AnalyticExperiencedBoard","#1 curn=#2 Scale=2 ch:fd transpose:y NULL=BLANK",,C13,C12)</f>
        <v>0</v>
      </c>
      <c r="E57" s="7"/>
      <c r="F57" s="7"/>
      <c r="G57" s="7"/>
      <c r="H57" s="7"/>
      <c r="I57" s="7"/>
    </row>
    <row r="58" spans="2:9" s="10" ht="15">
      <c r="B58" s="7" t="s">
        <v>19</v>
      </c>
      <c r="C58" s="7" t="s">
        <v>28</v>
      </c>
      <c r="D58" s="7">
        <f>TR(C5,"TR.AnalyticNonExecBoard","#1 curn=#2 Scale=2 ch:fd transpose:y NULL=BLANK",,C13,C12)</f>
        <v>0</v>
      </c>
      <c r="E58" s="7"/>
      <c r="F58" s="7"/>
      <c r="G58" s="7"/>
      <c r="H58" s="7"/>
      <c r="I58" s="7"/>
    </row>
    <row r="59" spans="2:9" s="10" ht="15">
      <c r="B59" s="7" t="s">
        <v>19</v>
      </c>
      <c r="C59" s="7" t="s">
        <v>28</v>
      </c>
      <c r="D59" s="7">
        <f>TR(C5,"TR.AnalyticIndepBoard","#1 curn=#2 Scale=2 ch:fd transpose:y NULL=BLANK",,C13,C12)</f>
        <v>0</v>
      </c>
      <c r="E59" s="7"/>
      <c r="F59" s="7"/>
      <c r="G59" s="7"/>
      <c r="H59" s="7"/>
      <c r="I59" s="7"/>
    </row>
    <row r="60" spans="2:9" s="10" ht="15">
      <c r="B60" s="7" t="s">
        <v>17</v>
      </c>
      <c r="C60" s="7" t="s">
        <v>28</v>
      </c>
      <c r="D60" s="7">
        <f>TR(C5,"TR.AnalyticStrictlyIndepBoard","#1 curn=#2 Scale=2 ch:fd transpose:y NULL=BLANK",,C13,C12)</f>
        <v>0</v>
      </c>
      <c r="E60" s="7"/>
      <c r="F60" s="7"/>
      <c r="G60" s="7"/>
      <c r="H60" s="7"/>
      <c r="I60" s="7"/>
    </row>
    <row r="61" spans="2:9" s="10" ht="15">
      <c r="B61" s="7" t="s">
        <v>19</v>
      </c>
      <c r="C61" s="7" t="s">
        <v>28</v>
      </c>
      <c r="D61" s="7">
        <f>TR(C5,"TR.AnalyticCEOChairmanSeparation","#1 curn=#2 Scale=2 ch:fd transpose:y NULL=BLANK",,C13,C12)</f>
        <v>0</v>
      </c>
      <c r="E61" s="7"/>
      <c r="F61" s="7"/>
      <c r="G61" s="7"/>
      <c r="H61" s="7"/>
      <c r="I61" s="7"/>
    </row>
    <row r="62" spans="2:9" s="10" ht="15">
      <c r="B62" s="7" t="s">
        <v>17</v>
      </c>
      <c r="C62" s="7" t="s">
        <v>28</v>
      </c>
      <c r="D62" s="7">
        <f>TR(C5,"TR.CEOBoardMember","#1 curn=#2 Scale=2 ch:fd transpose:y NULL=BLANK",,C13,C12)</f>
        <v>0</v>
      </c>
      <c r="E62" s="7"/>
      <c r="F62" s="7"/>
      <c r="G62" s="7"/>
      <c r="H62" s="7"/>
      <c r="I62" s="7"/>
    </row>
    <row r="63" spans="2:9" s="10" ht="15">
      <c r="B63" s="7" t="s">
        <v>17</v>
      </c>
      <c r="C63" s="7" t="s">
        <v>28</v>
      </c>
      <c r="D63" s="7">
        <f>TR(C5,"TR.ChairmanExCEO","#1 curn=#2 Scale=2 ch:fd transpose:y NULL=BLANK",,C13,C12)</f>
        <v>0</v>
      </c>
      <c r="E63" s="7"/>
      <c r="F63" s="7"/>
      <c r="G63" s="7"/>
      <c r="H63" s="7"/>
      <c r="I63" s="7"/>
    </row>
    <row r="64" spans="2:9" s="10" ht="15">
      <c r="B64" s="7" t="s">
        <v>19</v>
      </c>
      <c r="C64" s="7" t="s">
        <v>28</v>
      </c>
      <c r="D64" s="7">
        <f>TR(C5,"TR.AnalyticBoardAffiliations","#1 curn=#2 Scale=2 ch:fd transpose:y NULL=BLANK",,C13,C12)</f>
        <v>0</v>
      </c>
      <c r="E64" s="7"/>
      <c r="F64" s="7"/>
      <c r="G64" s="7"/>
      <c r="H64" s="7"/>
      <c r="I64" s="7"/>
    </row>
    <row r="65" spans="2:9" s="10" ht="15">
      <c r="B65" s="7" t="s">
        <v>19</v>
      </c>
      <c r="C65" s="7" t="s">
        <v>28</v>
      </c>
      <c r="D65" s="7">
        <f>TR(C5,"TR.AnalyticBoardReelection","#1 curn=#2 Scale=2 ch:fd transpose:y NULL=BLANK",,C13,C12)</f>
        <v>0</v>
      </c>
      <c r="E65" s="7"/>
      <c r="F65" s="7"/>
      <c r="G65" s="7"/>
      <c r="H65" s="7"/>
      <c r="I65" s="7"/>
    </row>
    <row r="66" spans="2:9" s="10" ht="15">
      <c r="B66" s="7" t="s">
        <v>17</v>
      </c>
      <c r="C66" s="7" t="s">
        <v>28</v>
      </c>
      <c r="D66" s="7">
        <f>TR(C5,"TR.BoardMembershipLimits","#1 curn=#2 Scale=2 ch:fd transpose:y NULL=BLANK",,C13,C12)</f>
        <v>0</v>
      </c>
      <c r="E66" s="7"/>
      <c r="F66" s="7"/>
      <c r="G66" s="7"/>
      <c r="H66" s="7"/>
      <c r="I66" s="7"/>
    </row>
    <row r="67" spans="2:9" s="10" ht="15">
      <c r="B67" s="7" t="s">
        <v>17</v>
      </c>
      <c r="C67" s="7" t="s">
        <v>28</v>
      </c>
      <c r="D67" s="7">
        <f>TR(C5,"TR.BoardTermDuration","#1 curn=#2 Scale=2 ch:fd transpose:y NULL=BLANK",,C13,C12)</f>
        <v>0</v>
      </c>
      <c r="E67" s="7"/>
      <c r="F67" s="7"/>
      <c r="G67" s="7"/>
      <c r="H67" s="7"/>
      <c r="I67" s="7"/>
    </row>
    <row r="68" spans="2:9" s="10" ht="15">
      <c r="B68" s="7" t="s">
        <v>19</v>
      </c>
      <c r="C68" s="7" t="s">
        <v>28</v>
      </c>
      <c r="D68" s="7">
        <f>TR(C5,"TR.AnalyticExecCompPolicy","#1 curn=#2 Scale=2 ch:fd transpose:y NULL=BLANK",,C13,C12)</f>
        <v>0</v>
      </c>
      <c r="E68" s="7"/>
      <c r="F68" s="7"/>
      <c r="G68" s="7"/>
      <c r="H68" s="7"/>
      <c r="I68" s="7"/>
    </row>
    <row r="69" spans="2:9" s="10" ht="15">
      <c r="B69" s="7" t="s">
        <v>19</v>
      </c>
      <c r="C69" s="7" t="s">
        <v>28</v>
      </c>
      <c r="D69" s="7">
        <f>TR(C5,"TR.AnalyticExecIndividualComp","#1 curn=#2 Scale=2 ch:fd transpose:y NULL=BLANK",,C13,C12)</f>
        <v>0</v>
      </c>
      <c r="E69" s="7"/>
      <c r="F69" s="7"/>
      <c r="G69" s="7"/>
      <c r="H69" s="7"/>
      <c r="I69" s="7"/>
    </row>
    <row r="70" spans="2:9" s="10" ht="15">
      <c r="B70" s="7" t="s">
        <v>19</v>
      </c>
      <c r="C70" s="7" t="s">
        <v>28</v>
      </c>
      <c r="D70" s="7">
        <f>TR(C5,"TR.AnalyticSeniorExecsTotalComp","#1 curn=#2 Scale=2 ch:fd transpose:y NULL=BLANK",,C13,C12)</f>
        <v>0</v>
      </c>
      <c r="E70" s="7"/>
      <c r="F70" s="7"/>
      <c r="G70" s="7"/>
      <c r="H70" s="7"/>
      <c r="I70" s="7"/>
    </row>
    <row r="71" spans="2:9" s="10" ht="15">
      <c r="B71" s="7" t="s">
        <v>17</v>
      </c>
      <c r="C71" s="7" t="s">
        <v>28</v>
      </c>
      <c r="D71" s="7">
        <f>TR(C5,"TR.SeniorExecsTotalComp","#1 curn=#2 Scale=2 ch:fd transpose:y NULL=BLANK",,C13,C12)</f>
        <v>0</v>
      </c>
      <c r="E71" s="7"/>
      <c r="F71" s="7"/>
      <c r="G71" s="7"/>
      <c r="H71" s="7"/>
      <c r="I71" s="7"/>
    </row>
    <row r="72" spans="2:9" s="10" ht="15">
      <c r="B72" s="7" t="s">
        <v>19</v>
      </c>
      <c r="C72" s="7" t="s">
        <v>28</v>
      </c>
      <c r="D72" s="7">
        <f>TR(C5,"TR.AnalyticHighestRemuneration","#1 curn=#2 Scale=2 ch:fd transpose:y NULL=BLANK",,C13,C12)</f>
        <v>0</v>
      </c>
      <c r="E72" s="7"/>
      <c r="F72" s="7"/>
      <c r="G72" s="7"/>
      <c r="H72" s="7"/>
      <c r="I72" s="7"/>
    </row>
    <row r="73" spans="2:9" s="10" ht="15">
      <c r="B73" s="7" t="s">
        <v>19</v>
      </c>
      <c r="C73" s="7" t="s">
        <v>28</v>
      </c>
      <c r="D73" s="7">
        <f>TR(C5,"TR.CEOCompTSR","#1 curn=#2 Scale=2 ch:fd transpose:y NULL=BLANK",,C13,C12)</f>
        <v>0</v>
      </c>
      <c r="E73" s="7"/>
      <c r="F73" s="7"/>
      <c r="G73" s="7"/>
      <c r="H73" s="7"/>
      <c r="I73" s="7"/>
    </row>
    <row r="74" spans="2:9" s="10" ht="15">
      <c r="B74" s="7" t="s">
        <v>19</v>
      </c>
      <c r="C74" s="7" t="s">
        <v>28</v>
      </c>
      <c r="D74" s="7">
        <f>TR(C5,"TR.AnalyticExecCompLTObjectives","#1 curn=#2 Scale=2 ch:fd transpose:y NULL=BLANK",,C13,C12)</f>
        <v>0</v>
      </c>
      <c r="E74" s="7"/>
      <c r="F74" s="7"/>
      <c r="G74" s="7"/>
      <c r="H74" s="7"/>
      <c r="I74" s="7"/>
    </row>
    <row r="75" spans="2:9" s="10" ht="15">
      <c r="B75" s="7" t="s">
        <v>19</v>
      </c>
      <c r="C75" s="7" t="s">
        <v>28</v>
      </c>
      <c r="D75" s="7">
        <f>TR(C5,"TR.AnalyticCSRCompIncentives","#1 curn=#2 Scale=2 ch:fd transpose:y NULL=BLANK",,C13,C12)</f>
        <v>0</v>
      </c>
      <c r="E75" s="7"/>
      <c r="F75" s="7"/>
      <c r="G75" s="7"/>
      <c r="H75" s="7"/>
      <c r="I75" s="7"/>
    </row>
    <row r="76" spans="2:9" s="10" ht="15">
      <c r="B76" s="7" t="s">
        <v>19</v>
      </c>
      <c r="C76" s="7" t="s">
        <v>28</v>
      </c>
      <c r="D76" s="7">
        <f>TR(C5,"TR.ShareholderApprovalStockCompPlan","#1 curn=#2 Scale=2 ch:fd transpose:y NULL=BLANK",,C13,C12)</f>
        <v>0</v>
      </c>
      <c r="E76" s="7"/>
      <c r="F76" s="7"/>
      <c r="G76" s="7"/>
      <c r="H76" s="7"/>
      <c r="I76" s="7"/>
    </row>
    <row r="77" spans="2:9" s="10" ht="15">
      <c r="B77" s="7" t="s">
        <v>17</v>
      </c>
      <c r="C77" s="7" t="s">
        <v>28</v>
      </c>
      <c r="D77" s="7">
        <f>TR(C5,"TR.AnalyticBoardMemberComp","#1 curn=#2 Scale=2 ch:fd transpose:y NULL=BLANK",,C13,C12)</f>
        <v>0</v>
      </c>
      <c r="E77" s="7"/>
      <c r="F77" s="7"/>
      <c r="G77" s="7"/>
      <c r="H77" s="7"/>
      <c r="I77" s="7"/>
    </row>
    <row r="78" spans="2:9" s="10" ht="15">
      <c r="B78" s="7" t="s">
        <v>17</v>
      </c>
      <c r="C78" s="7" t="s">
        <v>28</v>
      </c>
      <c r="D78" s="7">
        <f>TR(C5,"TR.BoardMemberLTCompIncentives","#1 curn=#2 Scale=2 ch:fd transpose:y NULL=BLANK",,C13,C12)</f>
        <v>0</v>
      </c>
      <c r="E78" s="7"/>
      <c r="F78" s="7"/>
      <c r="G78" s="7"/>
      <c r="H78" s="7"/>
      <c r="I78" s="7"/>
    </row>
    <row r="79" spans="2:9" s="10" ht="15">
      <c r="B79" s="7" t="s">
        <v>19</v>
      </c>
      <c r="C79" s="7" t="s">
        <v>28</v>
      </c>
      <c r="D79" s="7">
        <f>TR(C5,"TR.AnalyticBoardCulturalDiversity","#1 curn=#2 Scale=2 ch:fd transpose:y NULL=BLANK",,C13,C12)</f>
        <v>0</v>
      </c>
      <c r="E79" s="7"/>
      <c r="F79" s="7"/>
      <c r="G79" s="7"/>
      <c r="H79" s="7"/>
      <c r="I79" s="7"/>
    </row>
    <row r="80" spans="2:9" s="10" ht="15">
      <c r="B80" s="7" t="s">
        <v>19</v>
      </c>
      <c r="C80" s="7" t="s">
        <v>28</v>
      </c>
      <c r="D80" s="7">
        <f>TR(C5,"TR.AnalyticExecutiveMembersGenderDiversity","#1 curn=#2 Scale=2 ch:fd transpose:y NULL=BLANK",,C13,C12)</f>
        <v>0</v>
      </c>
      <c r="E80" s="7"/>
      <c r="F80" s="7"/>
      <c r="G80" s="7"/>
      <c r="H80" s="7"/>
      <c r="I80" s="7"/>
    </row>
    <row r="81" spans="2:9" s="10" ht="15">
      <c r="B81" s="7" t="s">
        <v>17</v>
      </c>
      <c r="C81" s="7" t="s">
        <v>28</v>
      </c>
      <c r="D81" s="7">
        <f>TR(C5,"TR.ChiefDiversityOfficer","#1 curn=#2 Scale=2 ch:fd transpose:y NULL=BLANK",,C13,C12)</f>
        <v>0</v>
      </c>
      <c r="E81" s="7"/>
      <c r="F81" s="7"/>
      <c r="G81" s="7"/>
      <c r="H81" s="7"/>
      <c r="I81" s="7"/>
    </row>
    <row r="82" spans="2:9" s="10" ht="15">
      <c r="B82" s="7" t="s">
        <v>19</v>
      </c>
      <c r="C82" s="7" t="s">
        <v>28</v>
      </c>
      <c r="D82" s="7">
        <f>TR(C5,"TR.AnalyticExecutivesCulturalDiversity","#1 curn=#2 Scale=2 ch:fd transpose:y NULL=BLANK",,C13,C12)</f>
        <v>0</v>
      </c>
      <c r="E82" s="7"/>
      <c r="F82" s="7"/>
      <c r="G82" s="7"/>
      <c r="H82" s="7"/>
      <c r="I82" s="7"/>
    </row>
    <row r="83" spans="2:9" s="10" ht="15">
      <c r="B83" s="7" t="s">
        <v>17</v>
      </c>
      <c r="C83" s="7" t="s">
        <v>28</v>
      </c>
      <c r="D83" s="7">
        <f>TR(C5,"TR.MinoritiesBoardPercentage","#1 curn=#2 Scale=2 ch:fd transpose:y NULL=BLANK",,C13,C12)</f>
        <v>0</v>
      </c>
      <c r="E83" s="7"/>
      <c r="F83" s="7"/>
      <c r="G83" s="7"/>
      <c r="H83" s="7"/>
      <c r="I83" s="7"/>
    </row>
    <row r="84" spans="2:9" s="10" ht="15">
      <c r="B84" s="7" t="s">
        <v>17</v>
      </c>
      <c r="C84" s="7" t="s">
        <v>28</v>
      </c>
      <c r="D84" s="7">
        <f>TR(C5,"TR.AsianMinoritiesBoardPercentage","#1 curn=#2 Scale=2 ch:fd transpose:y NULL=BLANK",,C13,C12)</f>
        <v>0</v>
      </c>
      <c r="E84" s="7"/>
      <c r="F84" s="7"/>
      <c r="G84" s="7"/>
      <c r="H84" s="7"/>
      <c r="I84" s="7"/>
    </row>
    <row r="85" spans="2:9" s="10" ht="15">
      <c r="B85" s="7" t="s">
        <v>17</v>
      </c>
      <c r="C85" s="7" t="s">
        <v>28</v>
      </c>
      <c r="D85" s="7">
        <f>TR(C5,"TR.BlackorAfricanAmericanMinoritiesBoardPercentage","#1 curn=#2 Scale=2 ch:fd transpose:y NULL=BLANK",,C13,C12)</f>
        <v>0</v>
      </c>
      <c r="E85" s="7"/>
      <c r="F85" s="7"/>
      <c r="G85" s="7"/>
      <c r="H85" s="7"/>
      <c r="I85" s="7"/>
    </row>
    <row r="86" spans="2:9" s="10" ht="15">
      <c r="B86" s="7" t="s">
        <v>17</v>
      </c>
      <c r="C86" s="7" t="s">
        <v>28</v>
      </c>
      <c r="D86" s="7">
        <f>TR(C5,"TR.HispanicorLatinoMinoritiesBoardPercentage","#1 curn=#2 Scale=2 ch:fd transpose:y NULL=BLANK",,C13,C12)</f>
        <v>0</v>
      </c>
      <c r="E86" s="7"/>
      <c r="F86" s="7"/>
      <c r="G86" s="7"/>
      <c r="H86" s="7"/>
      <c r="I86" s="7"/>
    </row>
    <row r="87" spans="2:9" s="10" ht="15">
      <c r="B87" s="7" t="s">
        <v>17</v>
      </c>
      <c r="C87" s="7" t="s">
        <v>28</v>
      </c>
      <c r="D87" s="7">
        <f>TR(C5,"TR.WhiteMinoritiesBoardPercentage","#1 curn=#2 Scale=2 ch:fd transpose:y NULL=BLANK",,C13,C12)</f>
        <v>0</v>
      </c>
      <c r="E87" s="7"/>
      <c r="F87" s="7"/>
      <c r="G87" s="7"/>
      <c r="H87" s="7"/>
      <c r="I87" s="7"/>
    </row>
    <row r="88" spans="2:9" s="10" ht="15">
      <c r="B88" s="7" t="s">
        <v>17</v>
      </c>
      <c r="C88" s="7" t="s">
        <v>28</v>
      </c>
      <c r="D88" s="7">
        <f>TR(C5,"TR.OtherMinoritiesBoardPercentage","#1 curn=#2 Scale=2 ch:fd transpose:y NULL=BLANK",,C13,C12)</f>
        <v>0</v>
      </c>
      <c r="E88" s="7"/>
      <c r="F88" s="7"/>
      <c r="G88" s="7"/>
      <c r="H88" s="7"/>
      <c r="I88" s="7"/>
    </row>
    <row r="89" spans="2:9" s="10" ht="15">
      <c r="B89" s="7" t="s">
        <v>17</v>
      </c>
      <c r="C89" s="7" t="s">
        <v>28</v>
      </c>
      <c r="D89" s="7">
        <f>TR(C5,"TR.MedianSalaryGap","#1 curn=#2 Scale=2 ch:fd transpose:y NULL=BLANK",,C13,C12)</f>
        <v>0</v>
      </c>
      <c r="E89" s="7"/>
      <c r="F89" s="7"/>
      <c r="G89" s="7"/>
      <c r="H89" s="7"/>
      <c r="I89" s="7"/>
    </row>
    <row r="90" spans="2:9" s="10" ht="15">
      <c r="B90" s="7" t="s">
        <v>17</v>
      </c>
      <c r="C90" s="7" t="s">
        <v>28</v>
      </c>
      <c r="D90" s="7">
        <f>TR(C5,"TR.AnalyticCurrentCEOChairmanDuality","#1 curn=#2 Scale=2 ch:fd transpose:y NULL=BLANK",,C13,C12)</f>
        <v>0</v>
      </c>
      <c r="E90" s="7"/>
      <c r="F90" s="7"/>
      <c r="G90" s="7"/>
      <c r="H90" s="7"/>
      <c r="I90" s="7"/>
    </row>
    <row r="91" spans="2:9" s="10" ht="15">
      <c r="B91" s="7" t="s">
        <v>17</v>
      </c>
      <c r="C91" s="7" t="s">
        <v>28</v>
      </c>
      <c r="D91" s="7">
        <f>TR(C5,"TR.BoardConflictsofInterest","#1 curn=#2 Scale=2 ch:fd transpose:y NULL=BLANK",,C13,C12)</f>
        <v>0</v>
      </c>
      <c r="E91" s="7"/>
      <c r="F91" s="7"/>
      <c r="G91" s="7"/>
      <c r="H91" s="7"/>
      <c r="I91" s="7"/>
    </row>
    <row r="92" spans="2:9" s="10" ht="15">
      <c r="B92" s="7" t="s">
        <v>17</v>
      </c>
      <c r="C92" s="7" t="s">
        <v>28</v>
      </c>
      <c r="D92" s="7">
        <f>TR(C5,"TR.BoardEffectivenessReview","#1 curn=#2 Scale=2 ch:fd transpose:y NULL=BLANK",,C13,C12)</f>
        <v>0</v>
      </c>
      <c r="E92" s="7"/>
      <c r="F92" s="7"/>
      <c r="G92" s="7"/>
      <c r="H92" s="7"/>
      <c r="I92" s="7"/>
    </row>
    <row r="93" spans="2:9" s="10" ht="15">
      <c r="B93" s="7" t="s">
        <v>17</v>
      </c>
      <c r="C93" s="7" t="s">
        <v>28</v>
      </c>
      <c r="D93" s="7">
        <f>TR(C5,"TR.BoardOversightofHealthandSafety","#1 curn=#2 Scale=2 ch:fd transpose:y NULL=BLANK",,C13,C12)</f>
        <v>0</v>
      </c>
      <c r="E93" s="7"/>
      <c r="F93" s="7"/>
      <c r="G93" s="7"/>
      <c r="H93" s="7"/>
      <c r="I93" s="7"/>
    </row>
    <row r="94" spans="2:9" s="10" ht="15">
      <c r="B94" s="7" t="s">
        <v>17</v>
      </c>
      <c r="C94" s="7" t="s">
        <v>28</v>
      </c>
      <c r="D94" s="7">
        <f>TR(C5,"TR.BoardRelatedPartyTransactions","#1 curn=#2 Scale=2 ch:fd transpose:y NULL=BLANK",,C13,C12)</f>
        <v>0</v>
      </c>
      <c r="E94" s="7"/>
      <c r="F94" s="7"/>
      <c r="G94" s="7"/>
      <c r="H94" s="7"/>
      <c r="I94" s="7"/>
    </row>
    <row r="95" spans="2:9" s="10" ht="15">
      <c r="B95" s="7" t="s">
        <v>17</v>
      </c>
      <c r="C95" s="7" t="s">
        <v>28</v>
      </c>
      <c r="D95" s="7">
        <f>TR(C5,"TR.CodeofConductNonCompliance","#1 curn=#2 Scale=2 ch:fd transpose:y NULL=BLANK",,C13,C12)</f>
        <v>0</v>
      </c>
      <c r="E95" s="7"/>
      <c r="F95" s="7"/>
      <c r="G95" s="7"/>
      <c r="H95" s="7"/>
      <c r="I95" s="7"/>
    </row>
    <row r="96" spans="2:9" s="10" ht="15">
      <c r="B96" s="7" t="s">
        <v>17</v>
      </c>
      <c r="C96" s="7" t="s">
        <v>28</v>
      </c>
      <c r="D96" s="7">
        <f>TR(C5,"TR.CodeofConductOversight","#1 curn=#2 Scale=2 ch:fd transpose:y NULL=BLANK",,C13,C12)</f>
        <v>0</v>
      </c>
      <c r="E96" s="7"/>
      <c r="F96" s="7"/>
      <c r="G96" s="7"/>
      <c r="H96" s="7"/>
      <c r="I96" s="7"/>
    </row>
    <row r="97" spans="2:9" s="10" ht="15">
      <c r="B97" s="7" t="s">
        <v>17</v>
      </c>
      <c r="C97" s="7" t="s">
        <v>28</v>
      </c>
      <c r="D97" s="7">
        <f>TR(C5,"TR.CSuiteRiskOversight","#1 curn=#2 Scale=2 ch:fd transpose:y NULL=BLANK",,C13,C12)</f>
        <v>0</v>
      </c>
      <c r="E97" s="7"/>
      <c r="F97" s="7"/>
      <c r="G97" s="7"/>
      <c r="H97" s="7"/>
      <c r="I97" s="7"/>
    </row>
    <row r="98" spans="2:9" s="10" ht="15">
      <c r="B98" s="7" t="s">
        <v>17</v>
      </c>
      <c r="C98" s="7" t="s">
        <v>28</v>
      </c>
      <c r="D98" s="7">
        <f>TR(C5,"TR.LeadIndependentDirector","#1 curn=#2 Scale=2 ch:fd transpose:y NULL=BLANK",,C13,C12)</f>
        <v>0</v>
      </c>
      <c r="E98" s="7"/>
      <c r="F98" s="7"/>
      <c r="G98" s="7"/>
      <c r="H98" s="7"/>
      <c r="I98" s="7"/>
    </row>
    <row r="99" spans="2:9" s="10" ht="15">
      <c r="B99" s="7" t="s">
        <v>17</v>
      </c>
      <c r="C99" s="7" t="s">
        <v>28</v>
      </c>
      <c r="D99" s="7">
        <f>TR(C5,"TR.BonusCapSeniorExecutives","#1 curn=#2 Scale=2 ch:fd transpose:y NULL=BLANK",,C13,C12)</f>
        <v>0</v>
      </c>
      <c r="E99" s="7"/>
      <c r="F99" s="7"/>
      <c r="G99" s="7"/>
      <c r="H99" s="7"/>
      <c r="I99" s="7"/>
    </row>
    <row r="100" spans="2:9" s="10" ht="15">
      <c r="B100" s="7" t="s">
        <v>17</v>
      </c>
      <c r="C100" s="7" t="s">
        <v>28</v>
      </c>
      <c r="D100" s="7">
        <f>TR(C5,"TR.CEOClawBack","#1 curn=#2 Scale=2 ch:fd transpose:y NULL=BLANK",,C13,C12)</f>
        <v>0</v>
      </c>
      <c r="E100" s="7"/>
      <c r="F100" s="7"/>
      <c r="G100" s="7"/>
      <c r="H100" s="7"/>
      <c r="I100" s="7"/>
    </row>
    <row r="101" spans="2:9" s="10" ht="15">
      <c r="B101" s="7" t="s">
        <v>17</v>
      </c>
      <c r="C101" s="7" t="s">
        <v>28</v>
      </c>
      <c r="D101" s="7">
        <f>TR(C5,"TR.ExecutiveClawBack","#1 curn=#2 Scale=2 ch:fd transpose:y NULL=BLANK",,C13,C12)</f>
        <v>0</v>
      </c>
      <c r="E101" s="7"/>
      <c r="F101" s="7"/>
      <c r="G101" s="7"/>
      <c r="H101" s="7"/>
      <c r="I101" s="7"/>
    </row>
    <row r="102" spans="2:9" s="10" ht="15">
      <c r="B102" s="7" t="s">
        <v>17</v>
      </c>
      <c r="C102" s="7" t="s">
        <v>28</v>
      </c>
      <c r="D102" s="7">
        <f>TR(C5,"TR.ExecutiveCompensationRisk","#1 curn=#2 Scale=2 ch:fd transpose:y NULL=BLANK",,C13,C12)</f>
        <v>0</v>
      </c>
      <c r="E102" s="7"/>
      <c r="F102" s="7"/>
      <c r="G102" s="7"/>
      <c r="H102" s="7"/>
      <c r="I102" s="7"/>
    </row>
    <row r="103" spans="2:9" s="10" ht="15">
      <c r="B103" s="7" t="s">
        <v>17</v>
      </c>
      <c r="C103" s="7" t="s">
        <v>28</v>
      </c>
      <c r="D103" s="7">
        <f>TR(C5,"TR.TargetsBoardDiversityTargetSetYear","#1 curn=#2 Scale=2 ch:fd transpose:y NULL=BLANK",,C13,C12)</f>
        <v>0</v>
      </c>
      <c r="E103" s="7"/>
      <c r="F103" s="7"/>
      <c r="G103" s="7"/>
      <c r="H103" s="7"/>
      <c r="I103" s="7"/>
    </row>
    <row r="104" spans="2:9" s="10" ht="15">
      <c r="B104" s="7" t="s">
        <v>17</v>
      </c>
      <c r="C104" s="7" t="s">
        <v>28</v>
      </c>
      <c r="D104" s="7">
        <f>TR(C5,"TR.TargetsBoardDiversityTargetYear","#1 curn=#2 Scale=2 ch:fd transpose:y NULL=BLANK",,C13,C12)</f>
        <v>0</v>
      </c>
      <c r="E104" s="7"/>
      <c r="F104" s="7"/>
      <c r="G104" s="7"/>
      <c r="H104" s="7"/>
      <c r="I104" s="7"/>
    </row>
    <row r="105" spans="2:9" s="10" ht="15">
      <c r="B105" s="7" t="s">
        <v>17</v>
      </c>
      <c r="C105" s="7" t="s">
        <v>28</v>
      </c>
      <c r="D105" s="7">
        <f>TR(C5,"TR.AnalyticChiefLegalOfficerReporttoBoard","#1 curn=#2 Scale=2 ch:fd transpose:y NULL=BLANK",,C13,C12)</f>
        <v>0</v>
      </c>
      <c r="E105" s="7"/>
      <c r="F105" s="7"/>
      <c r="G105" s="7"/>
      <c r="H105" s="7"/>
      <c r="I105" s="7"/>
    </row>
    <row r="106" spans="2:9" s="10" ht="15">
      <c r="B106" s="7" t="s">
        <v>17</v>
      </c>
      <c r="C106" s="7" t="s">
        <v>28</v>
      </c>
      <c r="D106" s="7">
        <f>TR(C5,"TR.AnalyticComplianceHeadReporttoBoard","#1 curn=#2 Scale=2 ch:fd transpose:y NULL=BLANK",,C13,C12)</f>
        <v>0</v>
      </c>
      <c r="E106" s="7"/>
      <c r="F106" s="7"/>
      <c r="G106" s="7"/>
      <c r="H106" s="7"/>
      <c r="I106" s="7"/>
    </row>
    <row r="107" spans="2:9" s="10" ht="15">
      <c r="B107" s="7" t="s">
        <v>17</v>
      </c>
      <c r="C107" s="7" t="s">
        <v>28</v>
      </c>
      <c r="D107" s="7">
        <f>TR(C5,"TR.AnalyticChairpersonIndependent","#1 curn=#2 Scale=2 ch:fd transpose:y NULL=BLANK",,C13,C12)</f>
        <v>0</v>
      </c>
      <c r="E107" s="7"/>
      <c r="F107" s="7"/>
      <c r="G107" s="7"/>
      <c r="H107" s="7"/>
      <c r="I107" s="7"/>
    </row>
    <row r="108" spans="2:9" s="10" ht="15">
      <c r="B108" s="7" t="s">
        <v>17</v>
      </c>
      <c r="C108" s="7" t="s">
        <v>28</v>
      </c>
      <c r="D108" s="7">
        <f>TR(C5,"TR.CodeofConductClaims","#1 curn=#2 Scale=2 ch:fd transpose:y NULL=BLANK",,C13,C12)</f>
        <v>0</v>
      </c>
      <c r="E108" s="7"/>
      <c r="F108" s="7"/>
      <c r="G108" s="7"/>
      <c r="H108" s="7"/>
      <c r="I108" s="7"/>
    </row>
    <row r="109" spans="2:9" s="10" ht="15">
      <c r="B109" s="7" t="s">
        <v>17</v>
      </c>
      <c r="C109" s="7" t="s">
        <v>28</v>
      </c>
      <c r="D109" s="7">
        <f>TR(C5,"TR.TargetsBoardDiversityPercent","#1 curn=#2 Scale=2 ch:fd transpose:y NULL=BLANK",,C13,C12)</f>
        <v>0</v>
      </c>
      <c r="E109" s="7"/>
      <c r="F109" s="7"/>
      <c r="G109" s="7"/>
      <c r="H109" s="7"/>
      <c r="I109" s="7"/>
    </row>
    <row r="110" spans="2:9" s="10" ht="15">
      <c r="B110" s="7" t="s">
        <v>17</v>
      </c>
      <c r="C110" s="7" t="s">
        <v>28</v>
      </c>
      <c r="D110" s="7">
        <f>TR(C5,"TR.BonusCapHighPaidStaff","#1 curn=#2 Scale=2 ch:fd transpose:y NULL=BLANK",,C13,C12)</f>
        <v>0</v>
      </c>
      <c r="E110" s="7"/>
      <c r="F110" s="7"/>
      <c r="G110" s="7"/>
      <c r="H110" s="7"/>
      <c r="I110" s="7"/>
    </row>
    <row r="111" spans="2:9" s="10" ht="15">
      <c r="B111" s="7" t="s">
        <v>17</v>
      </c>
      <c r="C111" s="7" t="s">
        <v>28</v>
      </c>
      <c r="D111" s="7">
        <f>TR(C5,"TR.BonusCapSeniorExecutivesPercent","#1 curn=#2 Scale=2 ch:fd transpose:y NULL=BLANK",,C13,C12)</f>
        <v>0</v>
      </c>
      <c r="E111" s="7"/>
      <c r="F111" s="7"/>
      <c r="G111" s="7"/>
      <c r="H111" s="7"/>
      <c r="I111" s="7"/>
    </row>
    <row r="112" spans="2:9" s="10" ht="15">
      <c r="B112" s="7" t="s">
        <v>19</v>
      </c>
      <c r="C112" s="7" t="s">
        <v>29</v>
      </c>
      <c r="D112" s="7">
        <f>TR(C5,"TR.AnalyticShareholderRightsPolicy","#1 curn=#2 Scale=2 ch:fd transpose:y NULL=BLANK",,C13,C12)</f>
        <v>0</v>
      </c>
      <c r="E112" s="7"/>
      <c r="F112" s="7"/>
      <c r="G112" s="7"/>
      <c r="H112" s="7"/>
      <c r="I112" s="7"/>
    </row>
    <row r="113" spans="2:9" s="10" ht="15">
      <c r="B113" s="7" t="s">
        <v>17</v>
      </c>
      <c r="C113" s="7" t="s">
        <v>29</v>
      </c>
      <c r="D113" s="7">
        <f>TR(C5,"TR.PolicyEqualVotingRight","#1 curn=#2 Scale=2 ch:fd transpose:y NULL=BLANK",,C13,C12)</f>
        <v>0</v>
      </c>
      <c r="E113" s="7"/>
      <c r="F113" s="7"/>
      <c r="G113" s="7"/>
      <c r="H113" s="7"/>
      <c r="I113" s="7"/>
    </row>
    <row r="114" spans="2:9" s="10" ht="15">
      <c r="B114" s="7" t="s">
        <v>17</v>
      </c>
      <c r="C114" s="7" t="s">
        <v>29</v>
      </c>
      <c r="D114" s="7">
        <f>TR(C5,"TR.PolicyShareholderEngagement","#1 curn=#2 Scale=2 ch:fd transpose:y NULL=BLANK",,C13,C12)</f>
        <v>0</v>
      </c>
      <c r="E114" s="7"/>
      <c r="F114" s="7"/>
      <c r="G114" s="7"/>
      <c r="H114" s="7"/>
      <c r="I114" s="7"/>
    </row>
    <row r="115" spans="2:9" s="10" ht="15">
      <c r="B115" s="7" t="s">
        <v>17</v>
      </c>
      <c r="C115" s="7" t="s">
        <v>29</v>
      </c>
      <c r="D115" s="7">
        <f>TR(C5,"TR.DifferentVotingRightShare","#1 curn=#2 Scale=2 ch:fd transpose:y NULL=BLANK",,C13,C12)</f>
        <v>0</v>
      </c>
      <c r="E115" s="7"/>
      <c r="F115" s="7"/>
      <c r="G115" s="7"/>
      <c r="H115" s="7"/>
      <c r="I115" s="7"/>
    </row>
    <row r="116" spans="2:9" s="10" ht="15">
      <c r="B116" s="7" t="s">
        <v>19</v>
      </c>
      <c r="C116" s="7" t="s">
        <v>29</v>
      </c>
      <c r="D116" s="7">
        <f>TR(C5,"TR.AnalyticEqualShareholderRights","#1 curn=#2 Scale=2 ch:fd transpose:y NULL=BLANK",,C13,C12)</f>
        <v>0</v>
      </c>
      <c r="E116" s="7"/>
      <c r="F116" s="7"/>
      <c r="G116" s="7"/>
      <c r="H116" s="7"/>
      <c r="I116" s="7"/>
    </row>
    <row r="117" spans="2:9" s="10" ht="15">
      <c r="B117" s="7" t="s">
        <v>17</v>
      </c>
      <c r="C117" s="7" t="s">
        <v>29</v>
      </c>
      <c r="D117" s="7">
        <f>TR(C5,"TR.VotingCap","#1 curn=#2 Scale=2 ch:fd transpose:y NULL=BLANK",,C13,C12)</f>
        <v>0</v>
      </c>
      <c r="E117" s="7"/>
      <c r="F117" s="7"/>
      <c r="G117" s="7"/>
      <c r="H117" s="7"/>
      <c r="I117" s="7"/>
    </row>
    <row r="118" spans="2:9" s="10" ht="15">
      <c r="B118" s="7" t="s">
        <v>19</v>
      </c>
      <c r="C118" s="7" t="s">
        <v>29</v>
      </c>
      <c r="D118" s="7">
        <f>TR(C5,"TR.VotingCapPctage","#1 curn=#2 Scale=2 ch:fd transpose:y NULL=BLANK",,C13,C12)</f>
        <v>0</v>
      </c>
      <c r="E118" s="7"/>
      <c r="F118" s="7"/>
      <c r="G118" s="7"/>
      <c r="H118" s="7"/>
      <c r="I118" s="7"/>
    </row>
    <row r="119" spans="2:9" s="10" ht="15">
      <c r="B119" s="7" t="s">
        <v>17</v>
      </c>
      <c r="C119" s="7" t="s">
        <v>29</v>
      </c>
      <c r="D119" s="7">
        <f>TR(C5,"TR.MinimumSharesVote","#1 curn=#2 Scale=2 ch:fd transpose:y NULL=BLANK",,C13,C12)</f>
        <v>0</v>
      </c>
      <c r="E119" s="7"/>
      <c r="F119" s="7"/>
      <c r="G119" s="7"/>
      <c r="H119" s="7"/>
      <c r="I119" s="7"/>
    </row>
    <row r="120" spans="2:9" s="10" ht="15">
      <c r="B120" s="7" t="s">
        <v>19</v>
      </c>
      <c r="C120" s="7" t="s">
        <v>29</v>
      </c>
      <c r="D120" s="7">
        <f>TR(C5,"TR.DirectorsElectionMajority","#1 curn=#2 Scale=2 ch:fd transpose:y NULL=BLANK",,C13,C12)</f>
        <v>0</v>
      </c>
      <c r="E120" s="7"/>
      <c r="F120" s="7"/>
      <c r="G120" s="7"/>
      <c r="H120" s="7"/>
      <c r="I120" s="7"/>
    </row>
    <row r="121" spans="2:9" s="10" ht="15">
      <c r="B121" s="7" t="s">
        <v>19</v>
      </c>
      <c r="C121" s="7" t="s">
        <v>29</v>
      </c>
      <c r="D121" s="7">
        <f>TR(C5,"TR.ShareholdersVoteExecPay","#1 curn=#2 Scale=2 ch:fd transpose:y NULL=BLANK",,C13,C12)</f>
        <v>0</v>
      </c>
      <c r="E121" s="7"/>
      <c r="F121" s="7"/>
      <c r="G121" s="7"/>
      <c r="H121" s="7"/>
      <c r="I121" s="7"/>
    </row>
    <row r="122" spans="2:9" s="10" ht="15">
      <c r="B122" s="7" t="s">
        <v>19</v>
      </c>
      <c r="C122" s="7" t="s">
        <v>29</v>
      </c>
      <c r="D122" s="7">
        <f>TR(C5,"TR.PublicCorporateStatutes","#1 curn=#2 Scale=2 ch:fd transpose:y NULL=BLANK",,C13,C12)</f>
        <v>0</v>
      </c>
      <c r="E122" s="7"/>
      <c r="F122" s="7"/>
      <c r="G122" s="7"/>
      <c r="H122" s="7"/>
      <c r="I122" s="7"/>
    </row>
    <row r="123" spans="2:9" s="10" ht="15">
      <c r="B123" s="7" t="s">
        <v>19</v>
      </c>
      <c r="C123" s="7" t="s">
        <v>29</v>
      </c>
      <c r="D123" s="7">
        <f>TR(C5,"TR.VetoPowerGoldenShare","#1 curn=#2 Scale=2 ch:fd transpose:y NULL=BLANK",,C13,C12)</f>
        <v>0</v>
      </c>
      <c r="E123" s="7"/>
      <c r="F123" s="7"/>
      <c r="G123" s="7"/>
      <c r="H123" s="7"/>
      <c r="I123" s="7"/>
    </row>
    <row r="124" spans="2:9" s="10" ht="15">
      <c r="B124" s="7" t="s">
        <v>19</v>
      </c>
      <c r="C124" s="7" t="s">
        <v>29</v>
      </c>
      <c r="D124" s="7">
        <f>TR(C5,"TR.StateOwnedEnterpriseSOE","#1 curn=#2 Scale=2 ch:fd transpose:y NULL=BLANK",,C13,C12)</f>
        <v>0</v>
      </c>
      <c r="E124" s="7"/>
      <c r="F124" s="7"/>
      <c r="G124" s="7"/>
      <c r="H124" s="7"/>
      <c r="I124" s="7"/>
    </row>
    <row r="125" spans="2:9" s="10" ht="15">
      <c r="B125" s="7" t="s">
        <v>19</v>
      </c>
      <c r="C125" s="7" t="s">
        <v>29</v>
      </c>
      <c r="D125" s="7">
        <f>TR(C5,"TR.AnalyticAntiTakeoverDevices","#1 curn=#2 Scale=2 ch:fd transpose:y NULL=BLANK",,C13,C12)</f>
        <v>0</v>
      </c>
      <c r="E125" s="7"/>
      <c r="F125" s="7"/>
      <c r="G125" s="7"/>
      <c r="H125" s="7"/>
      <c r="I125" s="7"/>
    </row>
    <row r="126" spans="2:9" s="10" ht="15">
      <c r="B126" s="7" t="s">
        <v>17</v>
      </c>
      <c r="C126" s="7" t="s">
        <v>29</v>
      </c>
      <c r="D126" s="7">
        <f>TR(C5,"TR.PoisonPill","#1 curn=#2 Scale=2 ch:fd transpose:y NULL=BLANK",,C13,C12)</f>
        <v>0</v>
      </c>
      <c r="E126" s="7"/>
      <c r="F126" s="7"/>
      <c r="G126" s="7"/>
      <c r="H126" s="7"/>
      <c r="I126" s="7"/>
    </row>
    <row r="127" spans="2:9" s="10" ht="15">
      <c r="B127" s="7" t="s">
        <v>17</v>
      </c>
      <c r="C127" s="7" t="s">
        <v>29</v>
      </c>
      <c r="D127" s="7">
        <f>TR(C5,"TR.PoisonPillAdoptionDate","#1 curn=#2 Scale=2 ch:fd transpose:y NULL=BLANK",,C13,C12)</f>
        <v>0</v>
      </c>
      <c r="E127" s="7"/>
      <c r="F127" s="7"/>
      <c r="G127" s="7"/>
      <c r="H127" s="7"/>
      <c r="I127" s="7"/>
    </row>
    <row r="128" spans="2:9" s="10" ht="15">
      <c r="B128" s="7" t="s">
        <v>17</v>
      </c>
      <c r="C128" s="7" t="s">
        <v>29</v>
      </c>
      <c r="D128" s="7">
        <f>TR(C5,"TR.PoisonPillExpirationDate","#1 curn=#2 Scale=2 ch:fd transpose:y NULL=BLANK",,C13,C12)</f>
        <v>0</v>
      </c>
      <c r="E128" s="7"/>
      <c r="F128" s="7"/>
      <c r="G128" s="7"/>
      <c r="H128" s="7"/>
      <c r="I128" s="7"/>
    </row>
    <row r="129" spans="2:9" s="10" ht="15">
      <c r="B129" s="7" t="s">
        <v>17</v>
      </c>
      <c r="C129" s="7" t="s">
        <v>29</v>
      </c>
      <c r="D129" s="7">
        <f>TR(C5,"TR.BlankCheck","#1 curn=#2 Scale=2 ch:fd transpose:y NULL=BLANK",,C13,C12)</f>
        <v>0</v>
      </c>
      <c r="E129" s="7"/>
      <c r="F129" s="7"/>
      <c r="G129" s="7"/>
      <c r="H129" s="7"/>
      <c r="I129" s="7"/>
    </row>
    <row r="130" spans="2:9" s="10" ht="15">
      <c r="B130" s="7" t="s">
        <v>17</v>
      </c>
      <c r="C130" s="7" t="s">
        <v>29</v>
      </c>
      <c r="D130" s="7">
        <f>TR(C5,"TR.ClassifiedBoard","#1 curn=#2 Scale=2 ch:fd transpose:y NULL=BLANK",,C13,C12)</f>
        <v>0</v>
      </c>
      <c r="E130" s="7"/>
      <c r="F130" s="7"/>
      <c r="G130" s="7"/>
      <c r="H130" s="7"/>
      <c r="I130" s="7"/>
    </row>
    <row r="131" spans="2:9" s="10" ht="15">
      <c r="B131" s="7" t="s">
        <v>17</v>
      </c>
      <c r="C131" s="7" t="s">
        <v>29</v>
      </c>
      <c r="D131" s="7">
        <f>TR(C5,"TR.StaggeredBoard","#1 curn=#2 Scale=2 ch:fd transpose:y NULL=BLANK",,C13,C12)</f>
        <v>0</v>
      </c>
      <c r="E131" s="7"/>
      <c r="F131" s="7"/>
      <c r="G131" s="7"/>
      <c r="H131" s="7"/>
      <c r="I131" s="7"/>
    </row>
    <row r="132" spans="2:9" s="10" ht="15">
      <c r="B132" s="7" t="s">
        <v>17</v>
      </c>
      <c r="C132" s="7" t="s">
        <v>29</v>
      </c>
      <c r="D132" s="7">
        <f>TR(C5,"TR.SupermajorityVote","#1 curn=#2 Scale=2 ch:fd transpose:y NULL=BLANK",,C13,C12)</f>
        <v>0</v>
      </c>
      <c r="E132" s="7"/>
      <c r="F132" s="7"/>
      <c r="G132" s="7"/>
      <c r="H132" s="7"/>
      <c r="I132" s="7"/>
    </row>
    <row r="133" spans="2:9" s="10" ht="15">
      <c r="B133" s="7" t="s">
        <v>17</v>
      </c>
      <c r="C133" s="7" t="s">
        <v>29</v>
      </c>
      <c r="D133" s="7">
        <f>TR(C5,"TR.GoldenParachute","#1 curn=#2 Scale=2 ch:fd transpose:y NULL=BLANK",,C13,C12)</f>
        <v>0</v>
      </c>
      <c r="E133" s="7"/>
      <c r="F133" s="7"/>
      <c r="G133" s="7"/>
      <c r="H133" s="7"/>
      <c r="I133" s="7"/>
    </row>
    <row r="134" spans="2:9" s="10" ht="15">
      <c r="B134" s="7" t="s">
        <v>17</v>
      </c>
      <c r="C134" s="7" t="s">
        <v>29</v>
      </c>
      <c r="D134" s="7">
        <f>TR(C5,"TR.CallMeetingsLimitedRights","#1 curn=#2 Scale=2 ch:fd transpose:y NULL=BLANK",,C13,C12)</f>
        <v>0</v>
      </c>
      <c r="E134" s="7"/>
      <c r="F134" s="7"/>
      <c r="G134" s="7"/>
      <c r="H134" s="7"/>
      <c r="I134" s="7"/>
    </row>
    <row r="135" spans="2:9" s="10" ht="15">
      <c r="B135" s="7" t="s">
        <v>17</v>
      </c>
      <c r="C135" s="7" t="s">
        <v>29</v>
      </c>
      <c r="D135" s="7">
        <f>TR(C5,"TR.EliminationCumVotingRights","#1 curn=#2 Scale=2 ch:fd transpose:y NULL=BLANK",,C13,C12)</f>
        <v>0</v>
      </c>
      <c r="E135" s="7"/>
      <c r="F135" s="7"/>
      <c r="G135" s="7"/>
      <c r="H135" s="7"/>
      <c r="I135" s="7"/>
    </row>
    <row r="136" spans="2:9" s="10" ht="15">
      <c r="B136" s="7" t="s">
        <v>17</v>
      </c>
      <c r="C136" s="7" t="s">
        <v>29</v>
      </c>
      <c r="D136" s="7">
        <f>TR(C5,"TR.PreemptiveRights","#1 curn=#2 Scale=2 ch:fd transpose:y NULL=BLANK",,C13,C12)</f>
        <v>0</v>
      </c>
      <c r="E136" s="7"/>
      <c r="F136" s="7"/>
      <c r="G136" s="7"/>
      <c r="H136" s="7"/>
      <c r="I136" s="7"/>
    </row>
    <row r="137" spans="2:9" s="10" ht="15">
      <c r="B137" s="7" t="s">
        <v>17</v>
      </c>
      <c r="C137" s="7" t="s">
        <v>29</v>
      </c>
      <c r="D137" s="7">
        <f>TR(C5,"TR.CompanyCrossShareholding","#1 curn=#2 Scale=2 ch:fd transpose:y NULL=BLANK",,C13,C12)</f>
        <v>0</v>
      </c>
      <c r="E137" s="7"/>
      <c r="F137" s="7"/>
      <c r="G137" s="7"/>
      <c r="H137" s="7"/>
      <c r="I137" s="7"/>
    </row>
    <row r="138" spans="2:9" s="10" ht="15">
      <c r="B138" s="7" t="s">
        <v>17</v>
      </c>
      <c r="C138" s="7" t="s">
        <v>29</v>
      </c>
      <c r="D138" s="7">
        <f>TR(C5,"TR.ConfidentialVotingPolicy","#1 curn=#2 Scale=2 ch:fd transpose:y NULL=BLANK",,C13,C12)</f>
        <v>0</v>
      </c>
      <c r="E138" s="7"/>
      <c r="F138" s="7"/>
      <c r="G138" s="7"/>
      <c r="H138" s="7"/>
      <c r="I138" s="7"/>
    </row>
    <row r="139" spans="2:9" s="10" ht="15">
      <c r="B139" s="7" t="s">
        <v>17</v>
      </c>
      <c r="C139" s="7" t="s">
        <v>29</v>
      </c>
      <c r="D139" s="7">
        <f>TR(C5,"TR.DirectorLiabilityLimitation","#1 curn=#2 Scale=2 ch:fd transpose:y NULL=BLANK",,C13,C12)</f>
        <v>0</v>
      </c>
      <c r="E139" s="7"/>
      <c r="F139" s="7"/>
      <c r="G139" s="7"/>
      <c r="H139" s="7"/>
      <c r="I139" s="7"/>
    </row>
    <row r="140" spans="2:9" s="10" ht="15">
      <c r="B140" s="7" t="s">
        <v>17</v>
      </c>
      <c r="C140" s="7" t="s">
        <v>29</v>
      </c>
      <c r="D140" s="7">
        <f>TR(C5,"TR.ShareholderApprovalTransactions","#1 curn=#2 Scale=2 ch:fd transpose:y NULL=BLANK",,C13,C12)</f>
        <v>0</v>
      </c>
      <c r="E140" s="7"/>
      <c r="F140" s="7"/>
      <c r="G140" s="7"/>
      <c r="H140" s="7"/>
      <c r="I140" s="7"/>
    </row>
    <row r="141" spans="2:9" s="10" ht="15">
      <c r="B141" s="7" t="s">
        <v>17</v>
      </c>
      <c r="C141" s="7" t="s">
        <v>29</v>
      </c>
      <c r="D141" s="7">
        <f>TR(C5,"TR.FairPriceProvision","#1 curn=#2 Scale=2 ch:fd transpose:y NULL=BLANK",,C13,C12)</f>
        <v>0</v>
      </c>
      <c r="E141" s="7"/>
      <c r="F141" s="7"/>
      <c r="G141" s="7"/>
      <c r="H141" s="7"/>
      <c r="I141" s="7"/>
    </row>
    <row r="142" spans="2:9" s="10" ht="15">
      <c r="B142" s="7" t="s">
        <v>17</v>
      </c>
      <c r="C142" s="7" t="s">
        <v>29</v>
      </c>
      <c r="D142" s="7">
        <f>TR(C5,"TR.LimitationRemovalDirectors","#1 curn=#2 Scale=2 ch:fd transpose:y NULL=BLANK",,C13,C12)</f>
        <v>0</v>
      </c>
      <c r="E142" s="7"/>
      <c r="F142" s="7"/>
      <c r="G142" s="7"/>
      <c r="H142" s="7"/>
      <c r="I142" s="7"/>
    </row>
    <row r="143" spans="2:9" s="10" ht="15">
      <c r="B143" s="7" t="s">
        <v>17</v>
      </c>
      <c r="C143" s="7" t="s">
        <v>29</v>
      </c>
      <c r="D143" s="7">
        <f>TR(C5,"TR.AdvanceNoticeShareholderProposal","#1 curn=#2 Scale=2 ch:fd transpose:y NULL=BLANK",,C13,C12)</f>
        <v>0</v>
      </c>
      <c r="E143" s="7"/>
      <c r="F143" s="7"/>
      <c r="G143" s="7"/>
      <c r="H143" s="7"/>
      <c r="I143" s="7"/>
    </row>
    <row r="144" spans="2:9" s="10" ht="15">
      <c r="B144" s="7" t="s">
        <v>17</v>
      </c>
      <c r="C144" s="7" t="s">
        <v>29</v>
      </c>
      <c r="D144" s="7">
        <f>TR(C5,"TR.AdvanceNoticePeriod","#1 curn=#2 Scale=2 ch:fd transpose:y NULL=BLANK",,C13,C12)</f>
        <v>0</v>
      </c>
      <c r="E144" s="7"/>
      <c r="F144" s="7"/>
      <c r="G144" s="7"/>
      <c r="H144" s="7"/>
      <c r="I144" s="7"/>
    </row>
    <row r="145" spans="2:9" s="10" ht="15">
      <c r="B145" s="7" t="s">
        <v>17</v>
      </c>
      <c r="C145" s="7" t="s">
        <v>29</v>
      </c>
      <c r="D145" s="7">
        <f>TR(C5,"TR.WrittenConsentRequirements","#1 curn=#2 Scale=2 ch:fd transpose:y NULL=BLANK",,C13,C12)</f>
        <v>0</v>
      </c>
      <c r="E145" s="7"/>
      <c r="F145" s="7"/>
      <c r="G145" s="7"/>
      <c r="H145" s="7"/>
      <c r="I145" s="7"/>
    </row>
    <row r="146" spans="2:9" s="10" ht="15">
      <c r="B146" s="7" t="s">
        <v>17</v>
      </c>
      <c r="C146" s="7" t="s">
        <v>29</v>
      </c>
      <c r="D146" s="7">
        <f>TR(C5,"TR.ExpandedConstituencyProvision","#1 curn=#2 Scale=2 ch:fd transpose:y NULL=BLANK",,C13,C12)</f>
        <v>0</v>
      </c>
      <c r="E146" s="7"/>
      <c r="F146" s="7"/>
      <c r="G146" s="7"/>
      <c r="H146" s="7"/>
      <c r="I146" s="7"/>
    </row>
    <row r="147" spans="2:9" s="10" ht="15">
      <c r="B147" s="7" t="s">
        <v>19</v>
      </c>
      <c r="C147" s="7" t="s">
        <v>29</v>
      </c>
      <c r="D147" s="7">
        <f>TR(C5,"TR.AnalyticLitigationExpenses","#1 curn=#2 Scale=2 ch:fd transpose:y NULL=BLANK",,C13,C12)</f>
        <v>0</v>
      </c>
      <c r="E147" s="7"/>
      <c r="F147" s="7"/>
      <c r="G147" s="7"/>
      <c r="H147" s="7"/>
      <c r="I147" s="7"/>
    </row>
    <row r="148" spans="2:9" s="10" ht="15">
      <c r="B148" s="7" t="s">
        <v>17</v>
      </c>
      <c r="C148" s="7" t="s">
        <v>29</v>
      </c>
      <c r="D148" s="7">
        <f>TR(C5,"TR.LitigationExpenses","#1 curn=#2 Scale=2 ch:fd transpose:y NULL=BLANK",,C13,C12)</f>
        <v>0</v>
      </c>
      <c r="E148" s="7"/>
      <c r="F148" s="7"/>
      <c r="G148" s="7"/>
      <c r="H148" s="7"/>
      <c r="I148" s="7"/>
    </row>
    <row r="149" spans="2:9" s="10" ht="15">
      <c r="B149" s="7" t="s">
        <v>19</v>
      </c>
      <c r="C149" s="7" t="s">
        <v>29</v>
      </c>
      <c r="D149" s="7">
        <f>TR(C5,"TR.AnalyticNonauditAuditFeesRatio","#1 curn=#2 Scale=2 ch:fd transpose:y NULL=BLANK",,C13,C12)</f>
        <v>0</v>
      </c>
      <c r="E149" s="7"/>
      <c r="F149" s="7"/>
      <c r="G149" s="7"/>
      <c r="H149" s="7"/>
      <c r="I149" s="7"/>
    </row>
    <row r="150" spans="2:9" s="10" ht="15">
      <c r="B150" s="7" t="s">
        <v>19</v>
      </c>
      <c r="C150" s="7" t="s">
        <v>29</v>
      </c>
      <c r="D150" s="7">
        <f>TR(C5,"TR.AuditorTenure","#1 curn=#2 Scale=2 ch:fd transpose:y NULL=BLANK",,C13,C12)</f>
        <v>0</v>
      </c>
      <c r="E150" s="7"/>
      <c r="F150" s="7"/>
      <c r="G150" s="7"/>
      <c r="H150" s="7"/>
      <c r="I150" s="7"/>
    </row>
    <row r="151" spans="2:9" s="10" ht="15">
      <c r="B151" s="7" t="s">
        <v>17</v>
      </c>
      <c r="C151" s="7" t="s">
        <v>29</v>
      </c>
      <c r="D151" s="7">
        <f>TR(C5,"TR.EVInclCEAdjustUSD","#1 curn=#2 Scale=2 ch:fd transpose:y NULL=BLANK",,C13,C12)</f>
        <v>0</v>
      </c>
      <c r="E151" s="7"/>
      <c r="F151" s="7"/>
      <c r="G151" s="7"/>
      <c r="H151" s="7"/>
      <c r="I151" s="7"/>
    </row>
    <row r="152" spans="2:9" s="10" ht="15">
      <c r="B152" s="7" t="s">
        <v>17</v>
      </c>
      <c r="C152" s="7" t="s">
        <v>29</v>
      </c>
      <c r="D152" s="7">
        <f>TR(C5,"TR.ExchangeRateUSD","#1 curn=#2 Scale=2 ch:fd transpose:y NULL=BLANK",,C13,C12)</f>
        <v>0</v>
      </c>
      <c r="E152" s="7"/>
      <c r="F152" s="7"/>
      <c r="G152" s="7"/>
      <c r="H152" s="7"/>
      <c r="I152" s="7"/>
    </row>
    <row r="153" spans="2:9" s="10" ht="15">
      <c r="B153" s="7" t="s">
        <v>17</v>
      </c>
      <c r="C153" s="7" t="s">
        <v>29</v>
      </c>
      <c r="D153" s="7">
        <f>TR(C5,"TR.SalesUSD","#1 curn=#2 Scale=2 ch:fd transpose:y NULL=BLANK",,C13,C12)</f>
        <v>0</v>
      </c>
      <c r="E153" s="7"/>
      <c r="F153" s="7"/>
      <c r="G153" s="7"/>
      <c r="H153" s="7"/>
      <c r="I153" s="7"/>
    </row>
    <row r="154" spans="2:9" s="10" ht="15">
      <c r="B154" s="7" t="s">
        <v>17</v>
      </c>
      <c r="C154" s="7" t="s">
        <v>29</v>
      </c>
      <c r="D154" s="7">
        <f>TR(C5,"TR.AuditRotation","#1 curn=#2 Scale=2 ch:fd transpose:y NULL=BLANK",,C13,C12)</f>
        <v>0</v>
      </c>
      <c r="E154" s="7"/>
      <c r="F154" s="7"/>
      <c r="G154" s="7"/>
      <c r="H154" s="7"/>
      <c r="I154" s="7"/>
    </row>
    <row r="155" spans="2:9" s="10" ht="15">
      <c r="B155" s="7" t="s">
        <v>17</v>
      </c>
      <c r="C155" s="7" t="s">
        <v>29</v>
      </c>
      <c r="D155" s="7">
        <f>TR(C5,"TR.DisclosureofVotingResults","#1 curn=#2 Scale=2 ch:fd transpose:y NULL=BLANK",,C13,C12)</f>
        <v>0</v>
      </c>
      <c r="E155" s="7"/>
      <c r="F155" s="7"/>
      <c r="G155" s="7"/>
      <c r="H155" s="7"/>
      <c r="I155" s="7"/>
    </row>
    <row r="156" spans="2:9" s="10" ht="15">
      <c r="B156" s="7" t="s">
        <v>17</v>
      </c>
      <c r="C156" s="7" t="s">
        <v>29</v>
      </c>
      <c r="D156" s="7">
        <f>TR(C5,"TR.ShareholderDirectorVotes","#1 curn=#2 Scale=2 ch:fd transpose:y NULL=BLANK",,C13,C12)</f>
        <v>0</v>
      </c>
      <c r="E156" s="7"/>
      <c r="F156" s="7"/>
      <c r="G156" s="7"/>
      <c r="H156" s="7"/>
      <c r="I156" s="7"/>
    </row>
    <row r="157" spans="2:9" s="10" ht="15">
      <c r="B157" s="7" t="s">
        <v>19</v>
      </c>
      <c r="C157" s="7" t="s">
        <v>30</v>
      </c>
      <c r="D157" s="7">
        <f>TR(C5,"TR.SustainabilityComm","#1 curn=#2 Scale=2 ch:fd transpose:y NULL=BLANK",,C13,C12)</f>
        <v>0</v>
      </c>
      <c r="E157" s="7"/>
      <c r="F157" s="7"/>
      <c r="G157" s="7"/>
      <c r="H157" s="7"/>
      <c r="I157" s="7"/>
    </row>
    <row r="158" spans="2:9" s="10" ht="15">
      <c r="B158" s="7" t="s">
        <v>19</v>
      </c>
      <c r="C158" s="7" t="s">
        <v>30</v>
      </c>
      <c r="D158" s="7">
        <f>TR(C5,"TR.IntegratedStrategyMD&amp;A","#1 curn=#2 Scale=2 ch:fd transpose:y NULL=BLANK",,C13,C12)</f>
        <v>0</v>
      </c>
      <c r="E158" s="7"/>
      <c r="F158" s="7"/>
      <c r="G158" s="7"/>
      <c r="H158" s="7"/>
      <c r="I158" s="7"/>
    </row>
    <row r="159" spans="2:9" s="10" ht="15">
      <c r="B159" s="7" t="s">
        <v>19</v>
      </c>
      <c r="C159" s="7" t="s">
        <v>30</v>
      </c>
      <c r="D159" s="7">
        <f>TR(C5,"TR.GlobalCompact","#1 curn=#2 Scale=2 ch:fd transpose:y NULL=BLANK",,C13,C12)</f>
        <v>0</v>
      </c>
      <c r="E159" s="7"/>
      <c r="F159" s="7"/>
      <c r="G159" s="7"/>
      <c r="H159" s="7"/>
      <c r="I159" s="7"/>
    </row>
    <row r="160" spans="2:9" s="10" ht="15">
      <c r="B160" s="7" t="s">
        <v>19</v>
      </c>
      <c r="C160" s="7" t="s">
        <v>30</v>
      </c>
      <c r="D160" s="7">
        <f>TR(C5,"TR.StakeholderEngagement","#1 curn=#2 Scale=2 ch:fd transpose:y NULL=BLANK",,C13,C12)</f>
        <v>0</v>
      </c>
      <c r="E160" s="7"/>
      <c r="F160" s="7"/>
      <c r="G160" s="7"/>
      <c r="H160" s="7"/>
      <c r="I160" s="7"/>
    </row>
    <row r="161" spans="2:9" s="10" ht="15">
      <c r="B161" s="7" t="s">
        <v>19</v>
      </c>
      <c r="C161" s="7" t="s">
        <v>30</v>
      </c>
      <c r="D161" s="7">
        <f>TR(C5,"TR.CSRReporting","#1 curn=#2 Scale=2 ch:fd transpose:y NULL=BLANK",,C13,C12)</f>
        <v>0</v>
      </c>
      <c r="E161" s="7"/>
      <c r="F161" s="7"/>
      <c r="G161" s="7"/>
      <c r="H161" s="7"/>
      <c r="I161" s="7"/>
    </row>
    <row r="162" spans="2:9" s="10" ht="15">
      <c r="B162" s="7" t="s">
        <v>19</v>
      </c>
      <c r="C162" s="7" t="s">
        <v>30</v>
      </c>
      <c r="D162" s="7">
        <f>TR(C5,"TR.CSRReportingGRI","#1 curn=#2 Scale=2 ch:fd transpose:y NULL=BLANK",,C13,C12)</f>
        <v>0</v>
      </c>
      <c r="E162" s="7"/>
      <c r="F162" s="7"/>
      <c r="G162" s="7"/>
      <c r="H162" s="7"/>
      <c r="I162" s="7"/>
    </row>
    <row r="163" spans="2:9" s="10" ht="15">
      <c r="B163" s="7" t="s">
        <v>19</v>
      </c>
      <c r="C163" s="7" t="s">
        <v>30</v>
      </c>
      <c r="D163" s="7">
        <f>TR(C5,"TR.CSRReportingGlobalActivities","#1 curn=#2 Scale=2 ch:fd transpose:y NULL=BLANK",,C13,C12)</f>
        <v>0</v>
      </c>
      <c r="E163" s="7"/>
      <c r="F163" s="7"/>
      <c r="G163" s="7"/>
      <c r="H163" s="7"/>
      <c r="I163" s="7"/>
    </row>
    <row r="164" spans="2:9" s="10" ht="15">
      <c r="B164" s="7" t="s">
        <v>19</v>
      </c>
      <c r="C164" s="7" t="s">
        <v>30</v>
      </c>
      <c r="D164" s="7">
        <f>TR(C5,"TR.CSRReportingExternalAudit","#1 curn=#2 Scale=2 ch:fd transpose:y NULL=BLANK",,C13,C12)</f>
        <v>0</v>
      </c>
      <c r="E164" s="7"/>
      <c r="F164" s="7"/>
      <c r="G164" s="7"/>
      <c r="H164" s="7"/>
      <c r="I164" s="7"/>
    </row>
    <row r="165" spans="2:9" s="10" ht="15">
      <c r="B165" s="7" t="s">
        <v>17</v>
      </c>
      <c r="C165" s="7" t="s">
        <v>30</v>
      </c>
      <c r="D165" s="7">
        <f>TR(C5,"TR.CSRReportingExternalAuditName","#1 curn=#2 Scale=2 ch:fd transpose:y NULL=BLANK",,C13,C12)</f>
        <v>0</v>
      </c>
      <c r="E165" s="7"/>
      <c r="F165" s="7"/>
      <c r="G165" s="7"/>
      <c r="H165" s="7"/>
      <c r="I165" s="7"/>
    </row>
    <row r="166" spans="2:9" s="10" ht="15">
      <c r="B166" s="7" t="s">
        <v>17</v>
      </c>
      <c r="C166" s="7" t="s">
        <v>30</v>
      </c>
      <c r="D166" s="7">
        <f>TR(C5,"TR.CSRReportingScope","#1 curn=#2 Scale=2 ch:fd transpose:y NULL=BLANK",,C13,C12)</f>
        <v>0</v>
      </c>
      <c r="E166" s="7"/>
      <c r="F166" s="7"/>
      <c r="G166" s="7"/>
      <c r="H166" s="7"/>
      <c r="I166" s="7"/>
    </row>
    <row r="167" spans="2:9" s="10" ht="15">
      <c r="B167" s="7" t="s">
        <v>17</v>
      </c>
      <c r="C167" s="7" t="s">
        <v>30</v>
      </c>
      <c r="D167" s="7">
        <f>TR(C5,"TR.ESGPeriodLastUpdateDate","#1 curn=#2 Scale=2 ch:fd transpose:y NULL=BLANK",,C13,C12)</f>
        <v>0</v>
      </c>
      <c r="E167" s="7"/>
      <c r="F167" s="7"/>
      <c r="G167" s="7"/>
      <c r="H167" s="7"/>
      <c r="I167" s="7"/>
    </row>
    <row r="168" spans="2:9" s="10" ht="15">
      <c r="B168" s="7" t="s">
        <v>19</v>
      </c>
      <c r="C168" s="7" t="s">
        <v>30</v>
      </c>
      <c r="D168" s="7">
        <f>TR(C5,"TR.UNPRISignatory","#1 curn=#2 Scale=2 ch:fd transpose:y NULL=BLANK",,C13,C12)</f>
        <v>0</v>
      </c>
      <c r="E168" s="7"/>
      <c r="F168" s="7"/>
      <c r="G168" s="7"/>
      <c r="H168" s="7"/>
      <c r="I168" s="7"/>
    </row>
    <row r="169" spans="2:9" s="10" ht="15">
      <c r="B169" s="7" t="s">
        <v>17</v>
      </c>
      <c r="C169" s="7" t="s">
        <v>30</v>
      </c>
      <c r="D169" s="7">
        <f>TR(C5,"TR.SDG1NoPoverty","#1 curn=#2 Scale=2 ch:fd transpose:y NULL=BLANK",,C13,C12)</f>
        <v>0</v>
      </c>
      <c r="E169" s="7"/>
      <c r="F169" s="7"/>
      <c r="G169" s="7"/>
      <c r="H169" s="7"/>
      <c r="I169" s="7"/>
    </row>
    <row r="170" spans="2:9" s="10" ht="15">
      <c r="B170" s="7" t="s">
        <v>17</v>
      </c>
      <c r="C170" s="7" t="s">
        <v>30</v>
      </c>
      <c r="D170" s="7">
        <f>TR(C5,"TR.SDG2ZeroHunger","#1 curn=#2 Scale=2 ch:fd transpose:y NULL=BLANK",,C13,C12)</f>
        <v>0</v>
      </c>
      <c r="E170" s="7"/>
      <c r="F170" s="7"/>
      <c r="G170" s="7"/>
      <c r="H170" s="7"/>
      <c r="I170" s="7"/>
    </row>
    <row r="171" spans="2:9" s="10" ht="15">
      <c r="B171" s="7" t="s">
        <v>17</v>
      </c>
      <c r="C171" s="7" t="s">
        <v>30</v>
      </c>
      <c r="D171" s="7">
        <f>TR(C5,"TR.SDG3GoodHealthWellbeing","#1 curn=#2 Scale=2 ch:fd transpose:y NULL=BLANK",,C13,C12)</f>
        <v>0</v>
      </c>
      <c r="E171" s="7"/>
      <c r="F171" s="7"/>
      <c r="G171" s="7"/>
      <c r="H171" s="7"/>
      <c r="I171" s="7"/>
    </row>
    <row r="172" spans="2:9" s="10" ht="15">
      <c r="B172" s="7" t="s">
        <v>17</v>
      </c>
      <c r="C172" s="7" t="s">
        <v>30</v>
      </c>
      <c r="D172" s="7">
        <f>TR(C5,"TR.SDG4QualityEducation","#1 curn=#2 Scale=2 ch:fd transpose:y NULL=BLANK",,C13,C12)</f>
        <v>0</v>
      </c>
      <c r="E172" s="7"/>
      <c r="F172" s="7"/>
      <c r="G172" s="7"/>
      <c r="H172" s="7"/>
      <c r="I172" s="7"/>
    </row>
    <row r="173" spans="2:9" s="10" ht="15">
      <c r="B173" s="7" t="s">
        <v>17</v>
      </c>
      <c r="C173" s="7" t="s">
        <v>30</v>
      </c>
      <c r="D173" s="7">
        <f>TR(C5,"TR.SDG5GenderEquality","#1 curn=#2 Scale=2 ch:fd transpose:y NULL=BLANK",,C13,C12)</f>
        <v>0</v>
      </c>
      <c r="E173" s="7"/>
      <c r="F173" s="7"/>
      <c r="G173" s="7"/>
      <c r="H173" s="7"/>
      <c r="I173" s="7"/>
    </row>
    <row r="174" spans="2:9" s="10" ht="15">
      <c r="B174" s="7" t="s">
        <v>17</v>
      </c>
      <c r="C174" s="7" t="s">
        <v>30</v>
      </c>
      <c r="D174" s="7">
        <f>TR(C5,"TR.SDG6CleanWaterSanitation","#1 curn=#2 Scale=2 ch:fd transpose:y NULL=BLANK",,C13,C12)</f>
        <v>0</v>
      </c>
      <c r="E174" s="7"/>
      <c r="F174" s="7"/>
      <c r="G174" s="7"/>
      <c r="H174" s="7"/>
      <c r="I174" s="7"/>
    </row>
    <row r="175" spans="2:9" s="10" ht="15">
      <c r="B175" s="7" t="s">
        <v>17</v>
      </c>
      <c r="C175" s="7" t="s">
        <v>30</v>
      </c>
      <c r="D175" s="7">
        <f>TR(C5,"TR.SDG7AffordableCleanEnergy","#1 curn=#2 Scale=2 ch:fd transpose:y NULL=BLANK",,C13,C12)</f>
        <v>0</v>
      </c>
      <c r="E175" s="7"/>
      <c r="F175" s="7"/>
      <c r="G175" s="7"/>
      <c r="H175" s="7"/>
      <c r="I175" s="7"/>
    </row>
    <row r="176" spans="2:9" s="10" ht="15">
      <c r="B176" s="7" t="s">
        <v>17</v>
      </c>
      <c r="C176" s="7" t="s">
        <v>30</v>
      </c>
      <c r="D176" s="7">
        <f>TR(C5,"TR.SDG8DecentWorkEconomicGrowth","#1 curn=#2 Scale=2 ch:fd transpose:y NULL=BLANK",,C13,C12)</f>
        <v>0</v>
      </c>
      <c r="E176" s="7"/>
      <c r="F176" s="7"/>
      <c r="G176" s="7"/>
      <c r="H176" s="7"/>
      <c r="I176" s="7"/>
    </row>
    <row r="177" spans="2:9" s="10" ht="15">
      <c r="B177" s="7" t="s">
        <v>17</v>
      </c>
      <c r="C177" s="7" t="s">
        <v>30</v>
      </c>
      <c r="D177" s="7">
        <f>TR(C5,"TR.SDG9IndustryInnovationInfrastructure","#1 curn=#2 Scale=2 ch:fd transpose:y NULL=BLANK",,C13,C12)</f>
        <v>0</v>
      </c>
      <c r="E177" s="7"/>
      <c r="F177" s="7"/>
      <c r="G177" s="7"/>
      <c r="H177" s="7"/>
      <c r="I177" s="7"/>
    </row>
    <row r="178" spans="2:9" s="10" ht="15">
      <c r="B178" s="7" t="s">
        <v>17</v>
      </c>
      <c r="C178" s="7" t="s">
        <v>30</v>
      </c>
      <c r="D178" s="7">
        <f>TR(C5,"TR.SDG10ReducedInequality","#1 curn=#2 Scale=2 ch:fd transpose:y NULL=BLANK",,C13,C12)</f>
        <v>0</v>
      </c>
      <c r="E178" s="7"/>
      <c r="F178" s="7"/>
      <c r="G178" s="7"/>
      <c r="H178" s="7"/>
      <c r="I178" s="7"/>
    </row>
    <row r="179" spans="2:9" s="10" ht="15">
      <c r="B179" s="7" t="s">
        <v>17</v>
      </c>
      <c r="C179" s="7" t="s">
        <v>30</v>
      </c>
      <c r="D179" s="7">
        <f>TR(C5,"TR.SDG11SustainableCitiesCommunities","#1 curn=#2 Scale=2 ch:fd transpose:y NULL=BLANK",,C13,C12)</f>
        <v>0</v>
      </c>
      <c r="E179" s="7"/>
      <c r="F179" s="7"/>
      <c r="G179" s="7"/>
      <c r="H179" s="7"/>
      <c r="I179" s="7"/>
    </row>
    <row r="180" spans="2:9" s="10" ht="15">
      <c r="B180" s="7" t="s">
        <v>17</v>
      </c>
      <c r="C180" s="7" t="s">
        <v>30</v>
      </c>
      <c r="D180" s="7">
        <f>TR(C5,"TR.SDG12ResponsibleConsumptionProduction","#1 curn=#2 Scale=2 ch:fd transpose:y NULL=BLANK",,C13,C12)</f>
        <v>0</v>
      </c>
      <c r="E180" s="7"/>
      <c r="F180" s="7"/>
      <c r="G180" s="7"/>
      <c r="H180" s="7"/>
      <c r="I180" s="7"/>
    </row>
    <row r="181" spans="2:9" s="10" ht="15">
      <c r="B181" s="7" t="s">
        <v>17</v>
      </c>
      <c r="C181" s="7" t="s">
        <v>30</v>
      </c>
      <c r="D181" s="7">
        <f>TR(C5,"TR.SDG13ClimateAction","#1 curn=#2 Scale=2 ch:fd transpose:y NULL=BLANK",,C13,C12)</f>
        <v>0</v>
      </c>
      <c r="E181" s="7"/>
      <c r="F181" s="7"/>
      <c r="G181" s="7"/>
      <c r="H181" s="7"/>
      <c r="I181" s="7"/>
    </row>
    <row r="182" spans="2:9" s="10" ht="15">
      <c r="B182" s="7" t="s">
        <v>17</v>
      </c>
      <c r="C182" s="7" t="s">
        <v>30</v>
      </c>
      <c r="D182" s="7">
        <f>TR(C5,"TR.SDG14LifeBelowWater","#1 curn=#2 Scale=2 ch:fd transpose:y NULL=BLANK",,C13,C12)</f>
        <v>0</v>
      </c>
      <c r="E182" s="7"/>
      <c r="F182" s="7"/>
      <c r="G182" s="7"/>
      <c r="H182" s="7"/>
      <c r="I182" s="7"/>
    </row>
    <row r="183" spans="2:9" s="10" ht="15">
      <c r="B183" s="7" t="s">
        <v>17</v>
      </c>
      <c r="C183" s="7" t="s">
        <v>30</v>
      </c>
      <c r="D183" s="7">
        <f>TR(C5,"TR.SDG15LifeonLand","#1 curn=#2 Scale=2 ch:fd transpose:y NULL=BLANK",,C13,C12)</f>
        <v>0</v>
      </c>
      <c r="E183" s="7"/>
      <c r="F183" s="7"/>
      <c r="G183" s="7"/>
      <c r="H183" s="7"/>
      <c r="I183" s="7"/>
    </row>
    <row r="184" spans="2:9" s="10" ht="15">
      <c r="B184" s="7" t="s">
        <v>17</v>
      </c>
      <c r="C184" s="7" t="s">
        <v>30</v>
      </c>
      <c r="D184" s="7">
        <f>TR(C5,"TR.SDG16PeaceJusticeStrongInstitutions","#1 curn=#2 Scale=2 ch:fd transpose:y NULL=BLANK",,C13,C12)</f>
        <v>0</v>
      </c>
      <c r="E184" s="7"/>
      <c r="F184" s="7"/>
      <c r="G184" s="7"/>
      <c r="H184" s="7"/>
      <c r="I184" s="7"/>
    </row>
    <row r="185" spans="2:9" s="10" ht="15">
      <c r="B185" s="7" t="s">
        <v>17</v>
      </c>
      <c r="C185" s="7" t="s">
        <v>30</v>
      </c>
      <c r="D185" s="7">
        <f>TR(C5,"TR.SDG17PartnershipsAchieveGoal","#1 curn=#2 Scale=2 ch:fd transpose:y NULL=BLANK",,C13,C12)</f>
        <v>0</v>
      </c>
      <c r="E185" s="7"/>
      <c r="F185" s="7"/>
      <c r="G185" s="7"/>
      <c r="H185" s="7"/>
      <c r="I185" s="7"/>
    </row>
    <row r="186" spans="2:9" s="10" ht="15">
      <c r="B186" s="7" t="s">
        <v>17</v>
      </c>
      <c r="C186" s="7" t="s">
        <v>30</v>
      </c>
      <c r="D186" s="7">
        <f>TR(C5,"TR.AuditOversightofTax","#1 curn=#2 Scale=2 ch:fd transpose:y NULL=BLANK",,C13,C12)</f>
        <v>0</v>
      </c>
      <c r="E186" s="7"/>
      <c r="F186" s="7"/>
      <c r="G186" s="7"/>
      <c r="H186" s="7"/>
      <c r="I186" s="7"/>
    </row>
    <row r="187" spans="2:9" s="10" ht="15">
      <c r="B187" s="7" t="s">
        <v>17</v>
      </c>
      <c r="C187" s="7" t="s">
        <v>30</v>
      </c>
      <c r="D187" s="7">
        <f>TR(C5,"TR.NamedPositionforTaxOversight","#1 curn=#2 Scale=2 ch:fd transpose:y NULL=BLANK",,C13,C12)</f>
        <v>0</v>
      </c>
      <c r="E187" s="7"/>
      <c r="F187" s="7"/>
      <c r="G187" s="7"/>
      <c r="H187" s="7"/>
      <c r="I187" s="7"/>
    </row>
    <row r="188" spans="2:9" s="10" ht="15">
      <c r="B188" s="7" t="s">
        <v>17</v>
      </c>
      <c r="C188" s="7" t="s">
        <v>30</v>
      </c>
      <c r="D188" s="7">
        <f>TR(C5,"TR.TaxBreakdownbyCountry","#1 curn=#2 Scale=2 ch:fd transpose:y NULL=BLANK",,C13,C12)</f>
        <v>0</v>
      </c>
      <c r="E188" s="7"/>
      <c r="F188" s="7"/>
      <c r="G188" s="7"/>
      <c r="H188" s="7"/>
      <c r="I188" s="7"/>
    </row>
    <row r="189" spans="2:9" s="10" ht="15">
      <c r="B189" s="7" t="s">
        <v>17</v>
      </c>
      <c r="C189" s="7" t="s">
        <v>30</v>
      </c>
      <c r="D189" s="7">
        <f>TR(C5,"TR.TaxBreakdownbyDomesticorInternational","#1 curn=#2 Scale=2 ch:fd transpose:y NULL=BLANK",,C13,C12)</f>
        <v>0</v>
      </c>
      <c r="E189" s="7"/>
      <c r="F189" s="7"/>
      <c r="G189" s="7"/>
      <c r="H189" s="7"/>
      <c r="I189" s="7"/>
    </row>
    <row r="190" spans="2:9" s="10" ht="15">
      <c r="B190" s="7" t="s">
        <v>17</v>
      </c>
      <c r="C190" s="7" t="s">
        <v>30</v>
      </c>
      <c r="D190" s="7">
        <f>TR(C5,"TR.TaxDataVerification","#1 curn=#2 Scale=2 ch:fd transpose:y NULL=BLANK",,C13,C12)</f>
        <v>0</v>
      </c>
      <c r="E190" s="7"/>
      <c r="F190" s="7"/>
      <c r="G190" s="7"/>
      <c r="H190" s="7"/>
      <c r="I190" s="7"/>
    </row>
    <row r="191" spans="2:9" s="10" ht="15">
      <c r="B191" s="7" t="s">
        <v>17</v>
      </c>
      <c r="C191" s="7" t="s">
        <v>30</v>
      </c>
      <c r="D191" s="7">
        <f>TR(C5,"TR.TaxFairnessCommitment","#1 curn=#2 Scale=2 ch:fd transpose:y NULL=BLANK",,C13,C12)</f>
        <v>0</v>
      </c>
      <c r="E191" s="7"/>
      <c r="F191" s="7"/>
      <c r="G191" s="7"/>
      <c r="H191" s="7"/>
      <c r="I191" s="7"/>
    </row>
    <row r="192" spans="2:9" s="10" ht="15">
      <c r="B192" s="7" t="s">
        <v>17</v>
      </c>
      <c r="C192" s="7" t="s">
        <v>30</v>
      </c>
      <c r="D192" s="7">
        <f>TR(C5,"TR.TaxinAuditTor","#1 curn=#2 Scale=2 ch:fd transpose:y NULL=BLANK",,C13,C12)</f>
        <v>0</v>
      </c>
      <c r="E192" s="7"/>
      <c r="F192" s="7"/>
      <c r="G192" s="7"/>
      <c r="H192" s="7"/>
      <c r="I192" s="7"/>
    </row>
    <row r="193" spans="2:9" s="10" ht="15">
      <c r="B193" s="7" t="s">
        <v>17</v>
      </c>
      <c r="C193" s="7" t="s">
        <v>30</v>
      </c>
      <c r="D193" s="7">
        <f>TR(C5,"TR.TaxOversightbyBoard","#1 curn=#2 Scale=2 ch:fd transpose:y NULL=BLANK",,C13,C12)</f>
        <v>0</v>
      </c>
      <c r="E193" s="7"/>
      <c r="F193" s="7"/>
      <c r="G193" s="7"/>
      <c r="H193" s="7"/>
      <c r="I193" s="7"/>
    </row>
    <row r="194" spans="2:9" s="10" ht="15">
      <c r="B194" s="7" t="s">
        <v>17</v>
      </c>
      <c r="C194" s="7" t="s">
        <v>30</v>
      </c>
      <c r="D194" s="7">
        <f>TR(C5,"TR.PolicyTaxTransparency","#1 curn=#2 Scale=2 ch:fd transpose:y NULL=BLANK",,C13,C12)</f>
        <v>0</v>
      </c>
      <c r="E194" s="7"/>
      <c r="F194" s="7"/>
      <c r="G194" s="7"/>
      <c r="H194" s="7"/>
      <c r="I194" s="7"/>
    </row>
    <row r="195" spans="2:9" s="10" ht="15">
      <c r="B195" s="7" t="s">
        <v>17</v>
      </c>
      <c r="C195" s="7" t="s">
        <v>30</v>
      </c>
      <c r="D195" s="7">
        <f>TR(C5,"TR.TaxesAligntoRevenues","#1 curn=#2 Scale=2 ch:fd transpose:y NULL=BLANK",,C13,C12)</f>
        <v>0</v>
      </c>
      <c r="E195" s="7"/>
      <c r="F195" s="7"/>
      <c r="G195" s="7"/>
      <c r="H195" s="7"/>
      <c r="I195" s="7"/>
    </row>
  </sheetData>
  <pageMargins left="0.5" right="0.5" top="1" bottom="1" header="0.5" footer="0.75"/>
  <pageSetup fitToHeight="0" orientation="portrait"/>
  <headerFooter/>
  <drawing r:id="rId1"/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pageSetUpPr fitToPage="1"/>
  </sheetPr>
  <dimension ref="B1:I112"/>
  <sheetViews>
    <sheetView view="normal" workbookViewId="0">
      <selection pane="topLeft" activeCell="A1" sqref="A1"/>
    </sheetView>
  </sheetViews>
  <sheetFormatPr defaultRowHeight="15" baseColWidth="0"/>
  <cols>
    <col min="1" max="1" width="1.7109375" style="0" customWidth="1"/>
    <col min="2" max="4" width="40.7109375" style="0" customWidth="1"/>
    <col min="5" max="9" width="15.7109375" style="0" customWidth="1"/>
  </cols>
  <sheetData>
    <row r="1" spans="2:9" s="10" customFormat="1" ht="1" customHeight="1">
      <c r="B1"/>
      <c r="C1"/>
      <c r="D1"/>
      <c r="E1"/>
      <c r="F1"/>
      <c r="G1"/>
      <c r="H1"/>
      <c r="I1"/>
    </row>
    <row r="2" spans="2:9" s="10" customFormat="1" ht="45" customHeight="1">
      <c r="B2"/>
      <c r="C2" s="1"/>
      <c r="D2" s="1"/>
      <c r="E2" s="1"/>
      <c r="F2" s="1"/>
      <c r="G2" s="1"/>
      <c r="H2" s="1"/>
      <c r="I2" s="1"/>
    </row>
    <row r="3" spans="2:9" s="10" customFormat="1" ht="45" customHeight="1">
      <c r="B3" s="2" t="s">
        <v>0</v>
      </c>
      <c r="C3" s="3"/>
      <c r="D3" s="3"/>
      <c r="E3" s="3"/>
      <c r="F3" s="3"/>
      <c r="G3" s="3"/>
      <c r="H3" s="3"/>
      <c r="I3" s="3"/>
    </row>
    <row r="4" spans="2:9" s="10" customFormat="1" ht="45" customHeight="1">
      <c r="B4" s="2" t="s">
        <v>31</v>
      </c>
      <c r="C4" s="3"/>
      <c r="D4" s="3"/>
      <c r="E4" s="3"/>
      <c r="F4" s="3"/>
      <c r="G4" s="3"/>
      <c r="H4" s="3"/>
      <c r="I4" s="3"/>
    </row>
    <row r="5" spans="2:9" s="10" ht="15">
      <c r="B5" s="1" t="s">
        <v>2</v>
      </c>
      <c r="C5" s="1" t="s">
        <v>3</v>
      </c>
      <c r="D5" s="1"/>
      <c r="E5" s="1"/>
      <c r="F5" s="1"/>
      <c r="G5" s="1"/>
      <c r="H5" s="1"/>
      <c r="I5" s="1"/>
    </row>
    <row r="6" spans="2:9" s="10" ht="15">
      <c r="B6" s="1" t="s">
        <v>4</v>
      </c>
      <c r="C6" s="1">
        <f>TR(C5,"TR.InstrumentDescription","NULL=BLANK")</f>
        <v>0</v>
      </c>
      <c r="D6" s="1"/>
      <c r="E6" s="1"/>
      <c r="F6" s="1"/>
      <c r="G6" s="1"/>
      <c r="H6" s="1"/>
      <c r="I6" s="1"/>
    </row>
    <row r="7" spans="2:9" s="10" ht="15">
      <c r="B7" s="1" t="s">
        <v>5</v>
      </c>
      <c r="C7" s="1">
        <f>TR(C5,"TR.HeadquartersCountry","NULL=BLANK")</f>
        <v>0</v>
      </c>
      <c r="D7" s="1"/>
      <c r="E7" s="1"/>
      <c r="F7" s="1"/>
      <c r="G7" s="1"/>
      <c r="H7" s="1"/>
      <c r="I7" s="1"/>
    </row>
    <row r="8" spans="2:9" s="10" ht="15">
      <c r="B8" s="1" t="s">
        <v>6</v>
      </c>
      <c r="C8" s="1">
        <f>TR(C5,"TR.GICSSector","NULL=BLANK")</f>
        <v>0</v>
      </c>
      <c r="D8" s="1"/>
      <c r="E8" s="1"/>
      <c r="F8" s="1"/>
      <c r="G8" s="1"/>
      <c r="H8" s="1"/>
      <c r="I8" s="1"/>
    </row>
    <row r="9" spans="2:9" s="10" ht="15">
      <c r="B9" s="1" t="s">
        <v>7</v>
      </c>
      <c r="C9" s="1">
        <f>TR(C5,"TR.TRBCIndustryGroup","NULL=BLANK")</f>
        <v>0</v>
      </c>
      <c r="D9" s="1"/>
      <c r="E9" s="1"/>
      <c r="F9" s="1"/>
      <c r="G9" s="1"/>
      <c r="H9" s="1"/>
      <c r="I9" s="1"/>
    </row>
    <row r="10" spans="2:9" s="10" ht="15">
      <c r="B10" s="1" t="s">
        <v>8</v>
      </c>
      <c r="C10" s="1">
        <v>5</v>
      </c>
      <c r="D10" s="1"/>
      <c r="E10" s="1"/>
      <c r="F10" s="1"/>
      <c r="G10" s="1"/>
      <c r="H10" s="1"/>
      <c r="I10" s="1"/>
    </row>
    <row r="11" spans="2:9" s="10" ht="15">
      <c r="B11" s="1" t="s">
        <v>9</v>
      </c>
      <c r="C11" s="1" t="s">
        <v>10</v>
      </c>
      <c r="D11" s="1"/>
      <c r="E11" s="1"/>
      <c r="F11" s="1"/>
      <c r="G11" s="1"/>
      <c r="H11" s="1"/>
      <c r="I11" s="1"/>
    </row>
    <row r="12" spans="2:9" s="10" ht="15">
      <c r="B12" s="1" t="s">
        <v>11</v>
      </c>
      <c r="C12" s="1" t="s">
        <v>12</v>
      </c>
      <c r="D12" s="1"/>
      <c r="E12" s="1"/>
      <c r="F12" s="1"/>
      <c r="G12" s="1"/>
      <c r="H12" s="1"/>
      <c r="I12" s="1"/>
    </row>
    <row r="13" spans="2:9" s="10" ht="15">
      <c r="B13" s="1" t="s">
        <v>13</v>
      </c>
      <c r="C13" s="1">
        <f>IF(C11="Left","Period=FY0 Sdate=0FY Edate=-"&amp;C10-1&amp;"FY FRQ=FY","Period=FY0 Sdate=-"&amp;C10-1&amp;"FY Edate=0FY FRQ=FY")</f>
        <v>0</v>
      </c>
      <c r="D13" s="1"/>
      <c r="E13" s="1"/>
      <c r="F13" s="1"/>
      <c r="G13" s="1"/>
      <c r="H13" s="1"/>
      <c r="I13" s="1"/>
    </row>
    <row r="14" spans="2:9" s="10" ht="15">
      <c r="B14" s="1"/>
      <c r="C14" s="1"/>
      <c r="D14" s="1"/>
      <c r="E14" s="1"/>
      <c r="F14" s="1"/>
      <c r="G14" s="1"/>
      <c r="H14" s="1"/>
      <c r="I14" s="1"/>
    </row>
    <row r="15" spans="2:9" s="10" ht="15">
      <c r="B15" s="4" t="s">
        <v>15</v>
      </c>
      <c r="C15" s="4" t="s">
        <v>16</v>
      </c>
      <c r="D15" s="4">
        <f>TR(C5,"TR.TRESGSCORE.Periodenddate","#1 transpose:y NULL=BLANK",INDIRECT(ADDRESS(ROW(),COLUMN()+1)&amp;":"&amp;ADDRESS(ROW(),COLUMN()+100)),C13)</f>
        <v>0</v>
      </c>
      <c r="E15" s="4"/>
      <c r="F15" s="4"/>
      <c r="G15" s="4"/>
      <c r="H15" s="4"/>
      <c r="I15" s="4"/>
    </row>
    <row r="16" spans="2:9" s="10" ht="15">
      <c r="B16" s="6"/>
      <c r="C16" s="6" t="s">
        <v>1</v>
      </c>
      <c r="D16" s="6">
        <f>TR(C5,"TR.TRESGCScore","#1 curn=#2 Scale=2 ch:fd transpose:y NULL=BLANK",,C13,C12)</f>
        <v>0</v>
      </c>
      <c r="E16" s="6"/>
      <c r="F16" s="6"/>
      <c r="G16" s="6"/>
      <c r="H16" s="6"/>
      <c r="I16" s="6"/>
    </row>
    <row r="17" spans="2:9" s="10" ht="15">
      <c r="B17" s="6"/>
      <c r="C17" s="6" t="s">
        <v>1</v>
      </c>
      <c r="D17" s="6">
        <f>TR(C5,"TR.TRESGScore","#1 curn=#2 Scale=2 ch:fd transpose:y NULL=BLANK",,C13,C12)</f>
        <v>0</v>
      </c>
      <c r="E17" s="6"/>
      <c r="F17" s="6"/>
      <c r="G17" s="6"/>
      <c r="H17" s="6"/>
      <c r="I17" s="6"/>
    </row>
    <row r="18" spans="2:9" s="10" ht="15">
      <c r="B18" s="6"/>
      <c r="C18" s="6" t="s">
        <v>1</v>
      </c>
      <c r="D18" s="6">
        <f>TR(C5,"TR.TRESGCControversiesScore","#1 curn=#2 Scale=2 ch:fd transpose:y NULL=BLANK",,C13,C12)</f>
        <v>0</v>
      </c>
      <c r="E18" s="6"/>
      <c r="F18" s="6"/>
      <c r="G18" s="6"/>
      <c r="H18" s="6"/>
      <c r="I18" s="6"/>
    </row>
    <row r="19" spans="2:9" s="10" ht="15">
      <c r="B19" s="7" t="s">
        <v>32</v>
      </c>
      <c r="C19" s="7" t="s">
        <v>31</v>
      </c>
      <c r="D19" s="7">
        <f>TR(C5,"TR.AnalyticEnvControv","#1 curn=#2 Scale=2 ch:fd transpose:y NULL=BLANK",,C13,C12)</f>
        <v>0</v>
      </c>
      <c r="E19" s="7"/>
      <c r="F19" s="7"/>
      <c r="G19" s="7"/>
      <c r="H19" s="7"/>
      <c r="I19" s="7"/>
    </row>
    <row r="20" spans="2:9" s="10" ht="15">
      <c r="B20" s="7" t="s">
        <v>32</v>
      </c>
      <c r="C20" s="7" t="s">
        <v>31</v>
      </c>
      <c r="D20" s="7">
        <f>TR(C5,"TR.ControvEnv","#1 curn=#2 Scale=2 ch:fd transpose:y NULL=BLANK",,C13,C12)</f>
        <v>0</v>
      </c>
      <c r="E20" s="7"/>
      <c r="F20" s="7"/>
      <c r="G20" s="7"/>
      <c r="H20" s="7"/>
      <c r="I20" s="7"/>
    </row>
    <row r="21" spans="2:9" s="10" ht="15">
      <c r="B21" s="7" t="s">
        <v>32</v>
      </c>
      <c r="C21" s="7" t="s">
        <v>31</v>
      </c>
      <c r="D21" s="7">
        <f>TR(C5,"TR.AnalyticWorkingConditionControv","#1 curn=#2 Scale=2 ch:fd transpose:y NULL=BLANK",,C13,C12)</f>
        <v>0</v>
      </c>
      <c r="E21" s="7"/>
      <c r="F21" s="7"/>
      <c r="G21" s="7"/>
      <c r="H21" s="7"/>
      <c r="I21" s="7"/>
    </row>
    <row r="22" spans="2:9" s="10" ht="15">
      <c r="B22" s="7" t="s">
        <v>32</v>
      </c>
      <c r="C22" s="7" t="s">
        <v>31</v>
      </c>
      <c r="D22" s="7">
        <f>TR(C5,"TR.ControvWorkingCondition","#1 curn=#2 Scale=2 ch:fd transpose:y NULL=BLANK",,C13,C12)</f>
        <v>0</v>
      </c>
      <c r="E22" s="7"/>
      <c r="F22" s="7"/>
      <c r="G22" s="7"/>
      <c r="H22" s="7"/>
      <c r="I22" s="7"/>
    </row>
    <row r="23" spans="2:9" s="10" ht="15">
      <c r="B23" s="7" t="s">
        <v>32</v>
      </c>
      <c r="C23" s="7" t="s">
        <v>31</v>
      </c>
      <c r="D23" s="7">
        <f>TR(C5,"TR.ControvDiversityOpportunity","#1 curn=#2 Scale=2 ch:fd transpose:y NULL=BLANK",,C13,C12)</f>
        <v>0</v>
      </c>
      <c r="E23" s="7"/>
      <c r="F23" s="7"/>
      <c r="G23" s="7"/>
      <c r="H23" s="7"/>
      <c r="I23" s="7"/>
    </row>
    <row r="24" spans="2:9" s="10" ht="15">
      <c r="B24" s="7" t="s">
        <v>32</v>
      </c>
      <c r="C24" s="7" t="s">
        <v>31</v>
      </c>
      <c r="D24" s="7">
        <f>TR(C5,"TR.ControvEmployeesHS","#1 curn=#2 Scale=2 ch:fd transpose:y NULL=BLANK",,C13,C12)</f>
        <v>0</v>
      </c>
      <c r="E24" s="7"/>
      <c r="F24" s="7"/>
      <c r="G24" s="7"/>
      <c r="H24" s="7"/>
      <c r="I24" s="7"/>
    </row>
    <row r="25" spans="2:9" s="10" ht="15">
      <c r="B25" s="7" t="s">
        <v>32</v>
      </c>
      <c r="C25" s="7" t="s">
        <v>31</v>
      </c>
      <c r="D25" s="7">
        <f>TR(C5,"TR.MgtDepartures","#1 curn=#2 Scale=2 ch:fd transpose:y NULL=BLANK",,C13,C12)</f>
        <v>0</v>
      </c>
      <c r="E25" s="7"/>
      <c r="F25" s="7"/>
      <c r="G25" s="7"/>
      <c r="H25" s="7"/>
      <c r="I25" s="7"/>
    </row>
    <row r="26" spans="2:9" s="10" ht="15">
      <c r="B26" s="7" t="s">
        <v>32</v>
      </c>
      <c r="C26" s="7" t="s">
        <v>31</v>
      </c>
      <c r="D26" s="7">
        <f>TR(C5,"TR.Strikes","#1 curn=#2 Scale=2 ch:fd transpose:y NULL=BLANK",,C13,C12)</f>
        <v>0</v>
      </c>
      <c r="E26" s="7"/>
      <c r="F26" s="7"/>
      <c r="G26" s="7"/>
      <c r="H26" s="7"/>
      <c r="I26" s="7"/>
    </row>
    <row r="27" spans="2:9" s="10" ht="15">
      <c r="B27" s="7" t="s">
        <v>32</v>
      </c>
      <c r="C27" s="7" t="s">
        <v>31</v>
      </c>
      <c r="D27" s="7">
        <f>TR(C5,"TR.ControvHumanRights","#1 curn=#2 Scale=2 ch:fd transpose:y NULL=BLANK",,C13,C12)</f>
        <v>0</v>
      </c>
      <c r="E27" s="7"/>
      <c r="F27" s="7"/>
      <c r="G27" s="7"/>
      <c r="H27" s="7"/>
      <c r="I27" s="7"/>
    </row>
    <row r="28" spans="2:9" s="10" ht="15">
      <c r="B28" s="7" t="s">
        <v>32</v>
      </c>
      <c r="C28" s="7" t="s">
        <v>31</v>
      </c>
      <c r="D28" s="7">
        <f>TR(C5,"TR.ControvFreedomofAssociation","#1 curn=#2 Scale=2 ch:fd transpose:y NULL=BLANK",,C13,C12)</f>
        <v>0</v>
      </c>
      <c r="E28" s="7"/>
      <c r="F28" s="7"/>
      <c r="G28" s="7"/>
      <c r="H28" s="7"/>
      <c r="I28" s="7"/>
    </row>
    <row r="29" spans="2:9" s="10" ht="15">
      <c r="B29" s="7" t="s">
        <v>32</v>
      </c>
      <c r="C29" s="7" t="s">
        <v>31</v>
      </c>
      <c r="D29" s="7">
        <f>TR(C5,"TR.ControvChildLabor","#1 curn=#2 Scale=2 ch:fd transpose:y NULL=BLANK",,C13,C12)</f>
        <v>0</v>
      </c>
      <c r="E29" s="7"/>
      <c r="F29" s="7"/>
      <c r="G29" s="7"/>
      <c r="H29" s="7"/>
      <c r="I29" s="7"/>
    </row>
    <row r="30" spans="2:9" s="10" ht="15">
      <c r="B30" s="7" t="s">
        <v>32</v>
      </c>
      <c r="C30" s="7" t="s">
        <v>31</v>
      </c>
      <c r="D30" s="7">
        <f>TR(C5,"TR.ControvCopyrights","#1 curn=#2 Scale=2 ch:fd transpose:y NULL=BLANK",,C13,C12)</f>
        <v>0</v>
      </c>
      <c r="E30" s="7"/>
      <c r="F30" s="7"/>
      <c r="G30" s="7"/>
      <c r="H30" s="7"/>
      <c r="I30" s="7"/>
    </row>
    <row r="31" spans="2:9" s="10" ht="15">
      <c r="B31" s="7" t="s">
        <v>32</v>
      </c>
      <c r="C31" s="7" t="s">
        <v>31</v>
      </c>
      <c r="D31" s="7">
        <f>TR(C5,"TR.ControvPublicHealth","#1 curn=#2 Scale=2 ch:fd transpose:y NULL=BLANK",,C13,C12)</f>
        <v>0</v>
      </c>
      <c r="E31" s="7"/>
      <c r="F31" s="7"/>
      <c r="G31" s="7"/>
      <c r="H31" s="7"/>
      <c r="I31" s="7"/>
    </row>
    <row r="32" spans="2:9" s="10" ht="15">
      <c r="B32" s="7" t="s">
        <v>32</v>
      </c>
      <c r="C32" s="7" t="s">
        <v>31</v>
      </c>
      <c r="D32" s="7">
        <f>TR(C5,"TR.ControvBusinessEthics","#1 curn=#2 Scale=2 ch:fd transpose:y NULL=BLANK",,C13,C12)</f>
        <v>0</v>
      </c>
      <c r="E32" s="7"/>
      <c r="F32" s="7"/>
      <c r="G32" s="7"/>
      <c r="H32" s="7"/>
      <c r="I32" s="7"/>
    </row>
    <row r="33" spans="2:9" s="10" ht="15">
      <c r="B33" s="7" t="s">
        <v>32</v>
      </c>
      <c r="C33" s="7" t="s">
        <v>31</v>
      </c>
      <c r="D33" s="7">
        <f>TR(C5,"TR.ControvTaxFraud","#1 curn=#2 Scale=2 ch:fd transpose:y NULL=BLANK",,C13,C12)</f>
        <v>0</v>
      </c>
      <c r="E33" s="7"/>
      <c r="F33" s="7"/>
      <c r="G33" s="7"/>
      <c r="H33" s="7"/>
      <c r="I33" s="7"/>
    </row>
    <row r="34" spans="2:9" s="10" ht="15">
      <c r="B34" s="7" t="s">
        <v>32</v>
      </c>
      <c r="C34" s="7" t="s">
        <v>31</v>
      </c>
      <c r="D34" s="7">
        <f>TR(C5,"TR.ControvAntiCompetition","#1 curn=#2 Scale=2 ch:fd transpose:y NULL=BLANK",,C13,C12)</f>
        <v>0</v>
      </c>
      <c r="E34" s="7"/>
      <c r="F34" s="7"/>
      <c r="G34" s="7"/>
      <c r="H34" s="7"/>
      <c r="I34" s="7"/>
    </row>
    <row r="35" spans="2:9" s="10" ht="15">
      <c r="B35" s="7" t="s">
        <v>32</v>
      </c>
      <c r="C35" s="7" t="s">
        <v>31</v>
      </c>
      <c r="D35" s="7">
        <f>TR(C5,"TR.AnalyticBriberyFraudControv","#1 curn=#2 Scale=2 ch:fd transpose:y NULL=BLANK",,C13,C12)</f>
        <v>0</v>
      </c>
      <c r="E35" s="7"/>
      <c r="F35" s="7"/>
      <c r="G35" s="7"/>
      <c r="H35" s="7"/>
      <c r="I35" s="7"/>
    </row>
    <row r="36" spans="2:9" s="10" ht="15">
      <c r="B36" s="7" t="s">
        <v>32</v>
      </c>
      <c r="C36" s="7" t="s">
        <v>31</v>
      </c>
      <c r="D36" s="7">
        <f>TR(C5,"TR.AnalyticAntiCompetitionControv","#1 curn=#2 Scale=2 ch:fd transpose:y NULL=BLANK",,C13,C12)</f>
        <v>0</v>
      </c>
      <c r="E36" s="7"/>
      <c r="F36" s="7"/>
      <c r="G36" s="7"/>
      <c r="H36" s="7"/>
      <c r="I36" s="7"/>
    </row>
    <row r="37" spans="2:9" s="10" ht="15">
      <c r="B37" s="7" t="s">
        <v>32</v>
      </c>
      <c r="C37" s="7" t="s">
        <v>31</v>
      </c>
      <c r="D37" s="7">
        <f>TR(C5,"TR.ControvCriticalCountries","#1 curn=#2 Scale=2 ch:fd transpose:y NULL=BLANK",,C13,C12)</f>
        <v>0</v>
      </c>
      <c r="E37" s="7"/>
      <c r="F37" s="7"/>
      <c r="G37" s="7"/>
      <c r="H37" s="7"/>
      <c r="I37" s="7"/>
    </row>
    <row r="38" spans="2:9" s="10" ht="15">
      <c r="B38" s="7" t="s">
        <v>32</v>
      </c>
      <c r="C38" s="7" t="s">
        <v>31</v>
      </c>
      <c r="D38" s="7">
        <f>TR(C5,"TR.AnalyticConsumerComplaints","#1 curn=#2 Scale=2 ch:fd transpose:y NULL=BLANK",,C13,C12)</f>
        <v>0</v>
      </c>
      <c r="E38" s="7"/>
      <c r="F38" s="7"/>
      <c r="G38" s="7"/>
      <c r="H38" s="7"/>
      <c r="I38" s="7"/>
    </row>
    <row r="39" spans="2:9" s="10" ht="15">
      <c r="B39" s="7" t="s">
        <v>32</v>
      </c>
      <c r="C39" s="7" t="s">
        <v>31</v>
      </c>
      <c r="D39" s="7">
        <f>TR(C5,"TR.ControvConsumer","#1 curn=#2 Scale=2 ch:fd transpose:y NULL=BLANK",,C13,C12)</f>
        <v>0</v>
      </c>
      <c r="E39" s="7"/>
      <c r="F39" s="7"/>
      <c r="G39" s="7"/>
      <c r="H39" s="7"/>
      <c r="I39" s="7"/>
    </row>
    <row r="40" spans="2:9" s="10" ht="15">
      <c r="B40" s="7" t="s">
        <v>32</v>
      </c>
      <c r="C40" s="7" t="s">
        <v>31</v>
      </c>
      <c r="D40" s="7">
        <f>TR(C5,"TR.ControvCustomerHS","#1 curn=#2 Scale=2 ch:fd transpose:y NULL=BLANK",,C13,C12)</f>
        <v>0</v>
      </c>
      <c r="E40" s="7"/>
      <c r="F40" s="7"/>
      <c r="G40" s="7"/>
      <c r="H40" s="7"/>
      <c r="I40" s="7"/>
    </row>
    <row r="41" spans="2:9" s="10" ht="15">
      <c r="B41" s="7" t="s">
        <v>32</v>
      </c>
      <c r="C41" s="7" t="s">
        <v>31</v>
      </c>
      <c r="D41" s="7">
        <f>TR(C5,"TR.ControvResponsibleRD","#1 curn=#2 Scale=2 ch:fd transpose:y NULL=BLANK",,C13,C12)</f>
        <v>0</v>
      </c>
      <c r="E41" s="7"/>
      <c r="F41" s="7"/>
      <c r="G41" s="7"/>
      <c r="H41" s="7"/>
      <c r="I41" s="7"/>
    </row>
    <row r="42" spans="2:9" s="10" ht="15">
      <c r="B42" s="7" t="s">
        <v>32</v>
      </c>
      <c r="C42" s="7" t="s">
        <v>31</v>
      </c>
      <c r="D42" s="7">
        <f>TR(C5,"TR.ControvPrivacy","#1 curn=#2 Scale=2 ch:fd transpose:y NULL=BLANK",,C13,C12)</f>
        <v>0</v>
      </c>
      <c r="E42" s="7"/>
      <c r="F42" s="7"/>
      <c r="G42" s="7"/>
      <c r="H42" s="7"/>
      <c r="I42" s="7"/>
    </row>
    <row r="43" spans="2:9" s="10" ht="15">
      <c r="B43" s="7" t="s">
        <v>32</v>
      </c>
      <c r="C43" s="7" t="s">
        <v>31</v>
      </c>
      <c r="D43" s="7">
        <f>TR(C5,"TR.ControvRespMarketing","#1 curn=#2 Scale=2 ch:fd transpose:y NULL=BLANK",,C13,C12)</f>
        <v>0</v>
      </c>
      <c r="E43" s="7"/>
      <c r="F43" s="7"/>
      <c r="G43" s="7"/>
      <c r="H43" s="7"/>
      <c r="I43" s="7"/>
    </row>
    <row r="44" spans="2:9" s="10" ht="15">
      <c r="B44" s="7" t="s">
        <v>32</v>
      </c>
      <c r="C44" s="7" t="s">
        <v>31</v>
      </c>
      <c r="D44" s="7">
        <f>TR(C5,"TR.ControvProductAccess","#1 curn=#2 Scale=2 ch:fd transpose:y NULL=BLANK",,C13,C12)</f>
        <v>0</v>
      </c>
      <c r="E44" s="7"/>
      <c r="F44" s="7"/>
      <c r="G44" s="7"/>
      <c r="H44" s="7"/>
      <c r="I44" s="7"/>
    </row>
    <row r="45" spans="2:9" s="10" ht="15">
      <c r="B45" s="7" t="s">
        <v>32</v>
      </c>
      <c r="C45" s="7" t="s">
        <v>31</v>
      </c>
      <c r="D45" s="7">
        <f>TR(C5,"TR.AnalyticCustomerControv","#1 curn=#2 Scale=2 ch:fd transpose:y NULL=BLANK",,C13,C12)</f>
        <v>0</v>
      </c>
      <c r="E45" s="7"/>
      <c r="F45" s="7"/>
      <c r="G45" s="7"/>
      <c r="H45" s="7"/>
      <c r="I45" s="7"/>
    </row>
    <row r="46" spans="2:9" s="10" ht="15">
      <c r="B46" s="7" t="s">
        <v>32</v>
      </c>
      <c r="C46" s="7" t="s">
        <v>31</v>
      </c>
      <c r="D46" s="7">
        <f>TR(C5,"TR.AnalyticRespMarketingControv","#1 curn=#2 Scale=2 ch:fd transpose:y NULL=BLANK",,C13,C12)</f>
        <v>0</v>
      </c>
      <c r="E46" s="7"/>
      <c r="F46" s="7"/>
      <c r="G46" s="7"/>
      <c r="H46" s="7"/>
      <c r="I46" s="7"/>
    </row>
    <row r="47" spans="2:9" s="10" ht="15">
      <c r="B47" s="7" t="s">
        <v>32</v>
      </c>
      <c r="C47" s="7" t="s">
        <v>31</v>
      </c>
      <c r="D47" s="7">
        <f>TR(C5,"TR.AnalyticDrugDelay","#1 curn=#2 Scale=2 ch:fd transpose:y NULL=BLANK",,C13,C12)</f>
        <v>0</v>
      </c>
      <c r="E47" s="7"/>
      <c r="F47" s="7"/>
      <c r="G47" s="7"/>
      <c r="H47" s="7"/>
      <c r="I47" s="7"/>
    </row>
    <row r="48" spans="2:9" s="10" ht="15">
      <c r="B48" s="7" t="s">
        <v>32</v>
      </c>
      <c r="C48" s="7" t="s">
        <v>31</v>
      </c>
      <c r="D48" s="7">
        <f>TR(C5,"TR.FDAWarningLetters","#1 curn=#2 Scale=2 ch:fd transpose:y NULL=BLANK",,C13,C12)</f>
        <v>0</v>
      </c>
      <c r="E48" s="7"/>
      <c r="F48" s="7"/>
      <c r="G48" s="7"/>
      <c r="H48" s="7"/>
      <c r="I48" s="7"/>
    </row>
    <row r="49" spans="2:9" s="10" ht="15">
      <c r="B49" s="7" t="s">
        <v>32</v>
      </c>
      <c r="C49" s="7" t="s">
        <v>31</v>
      </c>
      <c r="D49" s="7">
        <f>TR(C5,"TR.ProductDelays","#1 curn=#2 Scale=2 ch:fd transpose:y NULL=BLANK",,C13,C12)</f>
        <v>0</v>
      </c>
      <c r="E49" s="7"/>
      <c r="F49" s="7"/>
      <c r="G49" s="7"/>
      <c r="H49" s="7"/>
      <c r="I49" s="7"/>
    </row>
    <row r="50" spans="2:9" s="10" ht="15">
      <c r="B50" s="7" t="s">
        <v>32</v>
      </c>
      <c r="C50" s="7" t="s">
        <v>31</v>
      </c>
      <c r="D50" s="7">
        <f>TR(C5,"TR.NotApprovedDrug","#1 curn=#2 Scale=2 ch:fd transpose:y NULL=BLANK",,C13,C12)</f>
        <v>0</v>
      </c>
      <c r="E50" s="7"/>
      <c r="F50" s="7"/>
      <c r="G50" s="7"/>
      <c r="H50" s="7"/>
      <c r="I50" s="7"/>
    </row>
    <row r="51" spans="2:9" s="10" ht="15">
      <c r="B51" s="7" t="s">
        <v>32</v>
      </c>
      <c r="C51" s="7" t="s">
        <v>31</v>
      </c>
      <c r="D51" s="7">
        <f>TR(C5,"TR.ProductRecall","#1 curn=#2 Scale=2 ch:fd transpose:y NULL=BLANK",,C13,C12)</f>
        <v>0</v>
      </c>
      <c r="E51" s="7"/>
      <c r="F51" s="7"/>
      <c r="G51" s="7"/>
      <c r="H51" s="7"/>
      <c r="I51" s="7"/>
    </row>
    <row r="52" spans="2:9" s="10" ht="15">
      <c r="B52" s="7" t="s">
        <v>32</v>
      </c>
      <c r="C52" s="7" t="s">
        <v>31</v>
      </c>
      <c r="D52" s="7">
        <f>TR(C5,"TR.ControvMgtComp","#1 curn=#2 Scale=2 ch:fd transpose:y NULL=BLANK",,C13,C12)</f>
        <v>0</v>
      </c>
      <c r="E52" s="7"/>
      <c r="F52" s="7"/>
      <c r="G52" s="7"/>
      <c r="H52" s="7"/>
      <c r="I52" s="7"/>
    </row>
    <row r="53" spans="2:9" s="10" ht="15">
      <c r="B53" s="7" t="s">
        <v>32</v>
      </c>
      <c r="C53" s="7" t="s">
        <v>31</v>
      </c>
      <c r="D53" s="7">
        <f>TR(C5,"TR.AnalyticExecCompControv","#1 curn=#2 Scale=2 ch:fd transpose:y NULL=BLANK",,C13,C12)</f>
        <v>0</v>
      </c>
      <c r="E53" s="7"/>
      <c r="F53" s="7"/>
      <c r="G53" s="7"/>
      <c r="H53" s="7"/>
      <c r="I53" s="7"/>
    </row>
    <row r="54" spans="2:9" s="10" ht="15">
      <c r="B54" s="7" t="s">
        <v>32</v>
      </c>
      <c r="C54" s="7" t="s">
        <v>31</v>
      </c>
      <c r="D54" s="7">
        <f>TR(C5,"TR.ControvShareholders","#1 curn=#2 Scale=2 ch:fd transpose:y NULL=BLANK",,C13,C12)</f>
        <v>0</v>
      </c>
      <c r="E54" s="7"/>
      <c r="F54" s="7"/>
      <c r="G54" s="7"/>
      <c r="H54" s="7"/>
      <c r="I54" s="7"/>
    </row>
    <row r="55" spans="2:9" s="10" ht="15">
      <c r="B55" s="7" t="s">
        <v>32</v>
      </c>
      <c r="C55" s="7" t="s">
        <v>31</v>
      </c>
      <c r="D55" s="7">
        <f>TR(C5,"TR.ControvInsiderDealings","#1 curn=#2 Scale=2 ch:fd transpose:y NULL=BLANK",,C13,C12)</f>
        <v>0</v>
      </c>
      <c r="E55" s="7"/>
      <c r="F55" s="7"/>
      <c r="G55" s="7"/>
      <c r="H55" s="7"/>
      <c r="I55" s="7"/>
    </row>
    <row r="56" spans="2:9" s="10" ht="15">
      <c r="B56" s="7" t="s">
        <v>32</v>
      </c>
      <c r="C56" s="7" t="s">
        <v>31</v>
      </c>
      <c r="D56" s="7">
        <f>TR(C5,"TR.ControvAccounting","#1 curn=#2 Scale=2 ch:fd transpose:y NULL=BLANK",,C13,C12)</f>
        <v>0</v>
      </c>
      <c r="E56" s="7"/>
      <c r="F56" s="7"/>
      <c r="G56" s="7"/>
      <c r="H56" s="7"/>
      <c r="I56" s="7"/>
    </row>
    <row r="57" spans="2:9" s="10" ht="15">
      <c r="B57" s="7" t="s">
        <v>32</v>
      </c>
      <c r="C57" s="7" t="s">
        <v>31</v>
      </c>
      <c r="D57" s="7">
        <f>TR(C5,"TR.EarningsRestatement","#1 curn=#2 Scale=2 ch:fd transpose:y NULL=BLANK",,C13,C12)</f>
        <v>0</v>
      </c>
      <c r="E57" s="7"/>
      <c r="F57" s="7"/>
      <c r="G57" s="7"/>
      <c r="H57" s="7"/>
      <c r="I57" s="7"/>
    </row>
    <row r="58" spans="2:9" s="10" ht="15">
      <c r="B58" s="7" t="s">
        <v>32</v>
      </c>
      <c r="C58" s="7" t="s">
        <v>31</v>
      </c>
      <c r="D58" s="7">
        <f>TR(C5,"TR.ProfitWarnings","#1 curn=#2 Scale=2 ch:fd transpose:y NULL=BLANK",,C13,C12)</f>
        <v>0</v>
      </c>
      <c r="E58" s="7"/>
      <c r="F58" s="7"/>
      <c r="G58" s="7"/>
      <c r="H58" s="7"/>
      <c r="I58" s="7"/>
    </row>
    <row r="59" spans="2:9" s="10" ht="15">
      <c r="B59" s="7" t="s">
        <v>32</v>
      </c>
      <c r="C59" s="7" t="s">
        <v>31</v>
      </c>
      <c r="D59" s="7">
        <f>TR(C5,"TR.AnalyticInsiderDealingsControv","#1 curn=#2 Scale=2 ch:fd transpose:y NULL=BLANK",,C13,C12)</f>
        <v>0</v>
      </c>
      <c r="E59" s="7"/>
      <c r="F59" s="7"/>
      <c r="G59" s="7"/>
      <c r="H59" s="7"/>
      <c r="I59" s="7"/>
    </row>
    <row r="60" spans="2:9" s="10" ht="15">
      <c r="B60" s="7" t="s">
        <v>32</v>
      </c>
      <c r="C60" s="7" t="s">
        <v>31</v>
      </c>
      <c r="D60" s="7">
        <f>TR(C5,"TR.AnalyticAccountingControv","#1 curn=#2 Scale=2 ch:fd transpose:y NULL=BLANK",,C13,C12)</f>
        <v>0</v>
      </c>
      <c r="E60" s="7"/>
      <c r="F60" s="7"/>
      <c r="G60" s="7"/>
      <c r="H60" s="7"/>
      <c r="I60" s="7"/>
    </row>
    <row r="61" spans="2:9" s="10" ht="15">
      <c r="B61" s="7" t="s">
        <v>32</v>
      </c>
      <c r="C61" s="7" t="s">
        <v>31</v>
      </c>
      <c r="D61" s="7">
        <f>TR(C5,"TR.AuditorEarlyResignation","#1 curn=#2 Scale=2 ch:fd transpose:y NULL=BLANK",,C13,C12)</f>
        <v>0</v>
      </c>
      <c r="E61" s="7"/>
      <c r="F61" s="7"/>
      <c r="G61" s="7"/>
      <c r="H61" s="7"/>
      <c r="I61" s="7"/>
    </row>
    <row r="62" spans="2:9" s="10" ht="15">
      <c r="B62" s="7" t="s">
        <v>32</v>
      </c>
      <c r="C62" s="7" t="s">
        <v>31</v>
      </c>
      <c r="D62" s="7">
        <f>TR(C5,"TR.ControvDeforestation","#1 curn=#2 Scale=2 ch:fd transpose:y NULL=BLANK",,C13,C12)</f>
        <v>0</v>
      </c>
      <c r="E62" s="7"/>
      <c r="F62" s="7"/>
      <c r="G62" s="7"/>
      <c r="H62" s="7"/>
      <c r="I62" s="7"/>
    </row>
    <row r="63" spans="2:9" s="10" ht="15">
      <c r="B63" s="7" t="s">
        <v>32</v>
      </c>
      <c r="C63" s="7" t="s">
        <v>31</v>
      </c>
      <c r="D63" s="7">
        <f>TR(C5,"TR.ControvWaterAndMarineResource","#1 curn=#2 Scale=2 ch:fd transpose:y NULL=BLANK",,C13,C12)</f>
        <v>0</v>
      </c>
      <c r="E63" s="7"/>
      <c r="F63" s="7"/>
      <c r="G63" s="7"/>
      <c r="H63" s="7"/>
      <c r="I63" s="7"/>
    </row>
    <row r="64" spans="2:9" s="10" ht="15">
      <c r="B64" s="7" t="s">
        <v>32</v>
      </c>
      <c r="C64" s="7" t="s">
        <v>31</v>
      </c>
      <c r="D64" s="7">
        <f>TR(C5,"TR.ControvExtractionVirginNaturalResources","#1 curn=#2 Scale=2 ch:fd transpose:y NULL=BLANK",,C13,C12)</f>
        <v>0</v>
      </c>
      <c r="E64" s="7"/>
      <c r="F64" s="7"/>
      <c r="G64" s="7"/>
      <c r="H64" s="7"/>
      <c r="I64" s="7"/>
    </row>
    <row r="65" spans="2:9" s="10" ht="15">
      <c r="B65" s="7" t="s">
        <v>32</v>
      </c>
      <c r="C65" s="7" t="s">
        <v>31</v>
      </c>
      <c r="D65" s="7">
        <f>TR(C5,"TR.ControvExposureToSupplyRisk","#1 curn=#2 Scale=2 ch:fd transpose:y NULL=BLANK",,C13,C12)</f>
        <v>0</v>
      </c>
      <c r="E65" s="7"/>
      <c r="F65" s="7"/>
      <c r="G65" s="7"/>
      <c r="H65" s="7"/>
      <c r="I65" s="7"/>
    </row>
    <row r="66" spans="2:9" s="10" ht="15">
      <c r="B66" s="7" t="s">
        <v>32</v>
      </c>
      <c r="C66" s="7" t="s">
        <v>31</v>
      </c>
      <c r="D66" s="7">
        <f>TR(C5,"TR.BiodiversityAndEcosystemControversies","#1 curn=#2 Scale=2 ch:fd transpose:y NULL=BLANK",,C13,C12)</f>
        <v>0</v>
      </c>
      <c r="E66" s="7"/>
      <c r="F66" s="7"/>
      <c r="G66" s="7"/>
      <c r="H66" s="7"/>
      <c r="I66" s="7"/>
    </row>
    <row r="67" spans="2:9" s="10" ht="15">
      <c r="B67" s="7" t="s">
        <v>32</v>
      </c>
      <c r="C67" s="7" t="s">
        <v>31</v>
      </c>
      <c r="D67" s="7">
        <f>TR(C5,"TR.ResourceUseControversies","#1 curn=#2 Scale=2 ch:fd transpose:y NULL=BLANK",,C13,C12)</f>
        <v>0</v>
      </c>
      <c r="E67" s="7"/>
      <c r="F67" s="7"/>
      <c r="G67" s="7"/>
      <c r="H67" s="7"/>
      <c r="I67" s="7"/>
    </row>
    <row r="68" spans="2:9" s="10" ht="15">
      <c r="B68" s="7" t="s">
        <v>32</v>
      </c>
      <c r="C68" s="7" t="s">
        <v>31</v>
      </c>
      <c r="D68" s="7">
        <f>TR(C5,"TR.ControvEmission","#1 curn=#2 Scale=2 ch:fd transpose:y NULL=BLANK",,C13,C12)</f>
        <v>0</v>
      </c>
      <c r="E68" s="7"/>
      <c r="F68" s="7"/>
      <c r="G68" s="7"/>
      <c r="H68" s="7"/>
      <c r="I68" s="7"/>
    </row>
    <row r="69" spans="2:9" s="10" ht="15">
      <c r="B69" s="7" t="s">
        <v>32</v>
      </c>
      <c r="C69" s="7" t="s">
        <v>31</v>
      </c>
      <c r="D69" s="7">
        <f>TR(C5,"TR.ControvFossilFuelDebtFinance","#1 curn=#2 Scale=2 ch:fd transpose:y NULL=BLANK",,C13,C12)</f>
        <v>0</v>
      </c>
      <c r="E69" s="7"/>
      <c r="F69" s="7"/>
      <c r="G69" s="7"/>
      <c r="H69" s="7"/>
      <c r="I69" s="7"/>
    </row>
    <row r="70" spans="2:9" s="10" ht="15">
      <c r="B70" s="7" t="s">
        <v>32</v>
      </c>
      <c r="C70" s="7" t="s">
        <v>31</v>
      </c>
      <c r="D70" s="7">
        <f>TR(C5,"TR.ControvClimateRiskInsurance","#1 curn=#2 Scale=2 ch:fd transpose:y NULL=BLANK",,C13,C12)</f>
        <v>0</v>
      </c>
      <c r="E70" s="7"/>
      <c r="F70" s="7"/>
      <c r="G70" s="7"/>
      <c r="H70" s="7"/>
      <c r="I70" s="7"/>
    </row>
    <row r="71" spans="2:9" s="10" ht="15">
      <c r="B71" s="7" t="s">
        <v>32</v>
      </c>
      <c r="C71" s="7" t="s">
        <v>31</v>
      </c>
      <c r="D71" s="7">
        <f>TR(C5,"TR.ControvWastewaterManagement","#1 curn=#2 Scale=2 ch:fd transpose:y NULL=BLANK",,C13,C12)</f>
        <v>0</v>
      </c>
      <c r="E71" s="7"/>
      <c r="F71" s="7"/>
      <c r="G71" s="7"/>
      <c r="H71" s="7"/>
      <c r="I71" s="7"/>
    </row>
    <row r="72" spans="2:9" s="10" ht="15">
      <c r="B72" s="7" t="s">
        <v>32</v>
      </c>
      <c r="C72" s="7" t="s">
        <v>31</v>
      </c>
      <c r="D72" s="7">
        <f>TR(C5,"TR.ControvLowCarbonTransition","#1 curn=#2 Scale=2 ch:fd transpose:y NULL=BLANK",,C13,C12)</f>
        <v>0</v>
      </c>
      <c r="E72" s="7"/>
      <c r="F72" s="7"/>
      <c r="G72" s="7"/>
      <c r="H72" s="7"/>
      <c r="I72" s="7"/>
    </row>
    <row r="73" spans="2:9" s="10" ht="15">
      <c r="B73" s="7" t="s">
        <v>32</v>
      </c>
      <c r="C73" s="7" t="s">
        <v>31</v>
      </c>
      <c r="D73" s="7">
        <f>TR(C5,"TR.PollutionControversies","#1 curn=#2 Scale=2 ch:fd transpose:y NULL=BLANK",,C13,C12)</f>
        <v>0</v>
      </c>
      <c r="E73" s="7"/>
      <c r="F73" s="7"/>
      <c r="G73" s="7"/>
      <c r="H73" s="7"/>
      <c r="I73" s="7"/>
    </row>
    <row r="74" spans="2:9" s="10" ht="15">
      <c r="B74" s="7" t="s">
        <v>32</v>
      </c>
      <c r="C74" s="7" t="s">
        <v>31</v>
      </c>
      <c r="D74" s="7">
        <f>TR(C5,"TR.LobbyingControversies","#1 curn=#2 Scale=2 ch:fd transpose:y NULL=BLANK",,C13,C12)</f>
        <v>0</v>
      </c>
      <c r="E74" s="7"/>
      <c r="F74" s="7"/>
      <c r="G74" s="7"/>
      <c r="H74" s="7"/>
      <c r="I74" s="7"/>
    </row>
    <row r="75" spans="2:9" s="10" ht="15">
      <c r="B75" s="7" t="s">
        <v>32</v>
      </c>
      <c r="C75" s="7" t="s">
        <v>31</v>
      </c>
      <c r="D75" s="7">
        <f>TR(C5,"TR.GreenWashingFinesControversies","#1 curn=#2 Scale=2 ch:fd transpose:y NULL=BLANK",,C13,C12)</f>
        <v>0</v>
      </c>
      <c r="E75" s="7"/>
      <c r="F75" s="7"/>
      <c r="G75" s="7"/>
      <c r="H75" s="7"/>
      <c r="I75" s="7"/>
    </row>
    <row r="76" spans="2:9" s="10" ht="15">
      <c r="B76" s="7" t="s">
        <v>33</v>
      </c>
      <c r="C76" s="7" t="s">
        <v>34</v>
      </c>
      <c r="D76" s="7">
        <f>TR(C5,"TR.RecentControvEnv","#1 curn=#2 Scale=2 ch:fd transpose:y NULL=BLANK",,C13,C12)</f>
        <v>0</v>
      </c>
      <c r="E76" s="7"/>
      <c r="F76" s="7"/>
      <c r="G76" s="7"/>
      <c r="H76" s="7"/>
      <c r="I76" s="7"/>
    </row>
    <row r="77" spans="2:9" s="10" ht="15">
      <c r="B77" s="7" t="s">
        <v>33</v>
      </c>
      <c r="C77" s="7" t="s">
        <v>34</v>
      </c>
      <c r="D77" s="7">
        <f>TR(C5,"TR.RecentControvWorkingCondition","#1 curn=#2 Scale=2 ch:fd transpose:y NULL=BLANK",,C13,C12)</f>
        <v>0</v>
      </c>
      <c r="E77" s="7"/>
      <c r="F77" s="7"/>
      <c r="G77" s="7"/>
      <c r="H77" s="7"/>
      <c r="I77" s="7"/>
    </row>
    <row r="78" spans="2:9" s="10" ht="15">
      <c r="B78" s="7" t="s">
        <v>33</v>
      </c>
      <c r="C78" s="7" t="s">
        <v>34</v>
      </c>
      <c r="D78" s="7">
        <f>TR(C5,"TR.RecentControvDiversity","#1 curn=#2 Scale=2 ch:fd transpose:y NULL=BLANK",,C13,C12)</f>
        <v>0</v>
      </c>
      <c r="E78" s="7"/>
      <c r="F78" s="7"/>
      <c r="G78" s="7"/>
      <c r="H78" s="7"/>
      <c r="I78" s="7"/>
    </row>
    <row r="79" spans="2:9" s="10" ht="15">
      <c r="B79" s="7" t="s">
        <v>33</v>
      </c>
      <c r="C79" s="7" t="s">
        <v>34</v>
      </c>
      <c r="D79" s="7">
        <f>TR(C5,"TR.RecentControvEmployeesHS","#1 curn=#2 Scale=2 ch:fd transpose:y NULL=BLANK",,C13,C12)</f>
        <v>0</v>
      </c>
      <c r="E79" s="7"/>
      <c r="F79" s="7"/>
      <c r="G79" s="7"/>
      <c r="H79" s="7"/>
      <c r="I79" s="7"/>
    </row>
    <row r="80" spans="2:9" s="10" ht="15">
      <c r="B80" s="7" t="s">
        <v>33</v>
      </c>
      <c r="C80" s="7" t="s">
        <v>34</v>
      </c>
      <c r="D80" s="7">
        <f>TR(C5,"TR.RecentControvHumanRights","#1 curn=#2 Scale=2 ch:fd transpose:y NULL=BLANK",,C13,C12)</f>
        <v>0</v>
      </c>
      <c r="E80" s="7"/>
      <c r="F80" s="7"/>
      <c r="G80" s="7"/>
      <c r="H80" s="7"/>
      <c r="I80" s="7"/>
    </row>
    <row r="81" spans="2:9" s="10" ht="15">
      <c r="B81" s="7" t="s">
        <v>33</v>
      </c>
      <c r="C81" s="7" t="s">
        <v>34</v>
      </c>
      <c r="D81" s="7">
        <f>TR(C5,"TR.RecentControvChildLabor","#1 curn=#2 Scale=2 ch:fd transpose:y NULL=BLANK",,C13,C12)</f>
        <v>0</v>
      </c>
      <c r="E81" s="7"/>
      <c r="F81" s="7"/>
      <c r="G81" s="7"/>
      <c r="H81" s="7"/>
      <c r="I81" s="7"/>
    </row>
    <row r="82" spans="2:9" s="10" ht="15">
      <c r="B82" s="7" t="s">
        <v>33</v>
      </c>
      <c r="C82" s="7" t="s">
        <v>34</v>
      </c>
      <c r="D82" s="7">
        <f>TR(C5,"TR.RecentControvPublicHealth","#1 curn=#2 Scale=2 ch:fd transpose:y NULL=BLANK",,C13,C12)</f>
        <v>0</v>
      </c>
      <c r="E82" s="7"/>
      <c r="F82" s="7"/>
      <c r="G82" s="7"/>
      <c r="H82" s="7"/>
      <c r="I82" s="7"/>
    </row>
    <row r="83" spans="2:9" s="10" ht="15">
      <c r="B83" s="7" t="s">
        <v>33</v>
      </c>
      <c r="C83" s="7" t="s">
        <v>34</v>
      </c>
      <c r="D83" s="7">
        <f>TR(C5,"TR.RecentControvBusinessEthics","#1 curn=#2 Scale=2 ch:fd transpose:y NULL=BLANK",,C13,C12)</f>
        <v>0</v>
      </c>
      <c r="E83" s="7"/>
      <c r="F83" s="7"/>
      <c r="G83" s="7"/>
      <c r="H83" s="7"/>
      <c r="I83" s="7"/>
    </row>
    <row r="84" spans="2:9" s="10" ht="15">
      <c r="B84" s="7" t="s">
        <v>33</v>
      </c>
      <c r="C84" s="7" t="s">
        <v>34</v>
      </c>
      <c r="D84" s="7">
        <f>TR(C5,"TR.RecentControvTaxFraud","#1 curn=#2 Scale=2 ch:fd transpose:y NULL=BLANK",,C13,C12)</f>
        <v>0</v>
      </c>
      <c r="E84" s="7"/>
      <c r="F84" s="7"/>
      <c r="G84" s="7"/>
      <c r="H84" s="7"/>
      <c r="I84" s="7"/>
    </row>
    <row r="85" spans="2:9" s="10" ht="15">
      <c r="B85" s="7" t="s">
        <v>33</v>
      </c>
      <c r="C85" s="7" t="s">
        <v>34</v>
      </c>
      <c r="D85" s="7">
        <f>TR(C5,"TR.RecentControvAntiCompetition","#1 curn=#2 Scale=2 ch:fd transpose:y NULL=BLANK",,C13,C12)</f>
        <v>0</v>
      </c>
      <c r="E85" s="7"/>
      <c r="F85" s="7"/>
      <c r="G85" s="7"/>
      <c r="H85" s="7"/>
      <c r="I85" s="7"/>
    </row>
    <row r="86" spans="2:9" s="10" ht="15">
      <c r="B86" s="7" t="s">
        <v>33</v>
      </c>
      <c r="C86" s="7" t="s">
        <v>34</v>
      </c>
      <c r="D86" s="7">
        <f>TR(C5,"TR.RecentControvCriticalCountries","#1 curn=#2 Scale=2 ch:fd transpose:y NULL=BLANK",,C13,C12)</f>
        <v>0</v>
      </c>
      <c r="E86" s="7"/>
      <c r="F86" s="7"/>
      <c r="G86" s="7"/>
      <c r="H86" s="7"/>
      <c r="I86" s="7"/>
    </row>
    <row r="87" spans="2:9" s="10" ht="15">
      <c r="B87" s="7" t="s">
        <v>33</v>
      </c>
      <c r="C87" s="7" t="s">
        <v>34</v>
      </c>
      <c r="D87" s="7">
        <f>TR(C5,"TR.RecentControvCopyrights","#1 curn=#2 Scale=2 ch:fd transpose:y NULL=BLANK",,C13,C12)</f>
        <v>0</v>
      </c>
      <c r="E87" s="7"/>
      <c r="F87" s="7"/>
      <c r="G87" s="7"/>
      <c r="H87" s="7"/>
      <c r="I87" s="7"/>
    </row>
    <row r="88" spans="2:9" s="10" ht="15">
      <c r="B88" s="7" t="s">
        <v>33</v>
      </c>
      <c r="C88" s="7" t="s">
        <v>34</v>
      </c>
      <c r="D88" s="7">
        <f>TR(C5,"TR.RecentControvConsumer","#1 curn=#2 Scale=2 ch:fd transpose:y NULL=BLANK",,C13,C12)</f>
        <v>0</v>
      </c>
      <c r="E88" s="7"/>
      <c r="F88" s="7"/>
      <c r="G88" s="7"/>
      <c r="H88" s="7"/>
      <c r="I88" s="7"/>
    </row>
    <row r="89" spans="2:9" s="10" ht="15">
      <c r="B89" s="7" t="s">
        <v>33</v>
      </c>
      <c r="C89" s="7" t="s">
        <v>34</v>
      </c>
      <c r="D89" s="7">
        <f>TR(C5,"TR.RecentControvCustomerHS","#1 curn=#2 Scale=2 ch:fd transpose:y NULL=BLANK",,C13,C12)</f>
        <v>0</v>
      </c>
      <c r="E89" s="7"/>
      <c r="F89" s="7"/>
      <c r="G89" s="7"/>
      <c r="H89" s="7"/>
      <c r="I89" s="7"/>
    </row>
    <row r="90" spans="2:9" s="10" ht="15">
      <c r="B90" s="7" t="s">
        <v>33</v>
      </c>
      <c r="C90" s="7" t="s">
        <v>34</v>
      </c>
      <c r="D90" s="7">
        <f>TR(C5,"TR.RecentControvPrivacy","#1 curn=#2 Scale=2 ch:fd transpose:y NULL=BLANK",,C13,C12)</f>
        <v>0</v>
      </c>
      <c r="E90" s="7"/>
      <c r="F90" s="7"/>
      <c r="G90" s="7"/>
      <c r="H90" s="7"/>
      <c r="I90" s="7"/>
    </row>
    <row r="91" spans="2:9" s="10" ht="15">
      <c r="B91" s="7" t="s">
        <v>33</v>
      </c>
      <c r="C91" s="7" t="s">
        <v>34</v>
      </c>
      <c r="D91" s="7">
        <f>TR(C5,"TR.RecentControvRespMarketing","#1 curn=#2 Scale=2 ch:fd transpose:y NULL=BLANK",,C13,C12)</f>
        <v>0</v>
      </c>
      <c r="E91" s="7"/>
      <c r="F91" s="7"/>
      <c r="G91" s="7"/>
      <c r="H91" s="7"/>
      <c r="I91" s="7"/>
    </row>
    <row r="92" spans="2:9" s="10" ht="15">
      <c r="B92" s="7" t="s">
        <v>33</v>
      </c>
      <c r="C92" s="7" t="s">
        <v>34</v>
      </c>
      <c r="D92" s="7">
        <f>TR(C5,"TR.RecentControvProductAccess","#1 curn=#2 Scale=2 ch:fd transpose:y NULL=BLANK",,C13,C12)</f>
        <v>0</v>
      </c>
      <c r="E92" s="7"/>
      <c r="F92" s="7"/>
      <c r="G92" s="7"/>
      <c r="H92" s="7"/>
      <c r="I92" s="7"/>
    </row>
    <row r="93" spans="2:9" s="10" ht="15">
      <c r="B93" s="7" t="s">
        <v>33</v>
      </c>
      <c r="C93" s="7" t="s">
        <v>34</v>
      </c>
      <c r="D93" s="7">
        <f>TR(C5,"TR.RecentControvResponsibleRD","#1 curn=#2 Scale=2 ch:fd transpose:y NULL=BLANK",,C13,C12)</f>
        <v>0</v>
      </c>
      <c r="E93" s="7"/>
      <c r="F93" s="7"/>
      <c r="G93" s="7"/>
      <c r="H93" s="7"/>
      <c r="I93" s="7"/>
    </row>
    <row r="94" spans="2:9" s="10" ht="15">
      <c r="B94" s="7" t="s">
        <v>33</v>
      </c>
      <c r="C94" s="7" t="s">
        <v>34</v>
      </c>
      <c r="D94" s="7">
        <f>TR(C5,"TR.RecentFDAWarningLetters","#1 curn=#2 Scale=2 ch:fd transpose:y NULL=BLANK",,C13,C12)</f>
        <v>0</v>
      </c>
      <c r="E94" s="7"/>
      <c r="F94" s="7"/>
      <c r="G94" s="7"/>
      <c r="H94" s="7"/>
      <c r="I94" s="7"/>
    </row>
    <row r="95" spans="2:9" s="10" ht="15">
      <c r="B95" s="7" t="s">
        <v>33</v>
      </c>
      <c r="C95" s="7" t="s">
        <v>34</v>
      </c>
      <c r="D95" s="7">
        <f>TR(C5,"TR.ControvRecentMgtComp","#1 curn=#2 Scale=2 ch:fd transpose:y NULL=BLANK",,C13,C12)</f>
        <v>0</v>
      </c>
      <c r="E95" s="7"/>
      <c r="F95" s="7"/>
      <c r="G95" s="7"/>
      <c r="H95" s="7"/>
      <c r="I95" s="7"/>
    </row>
    <row r="96" spans="2:9" s="10" ht="15">
      <c r="B96" s="7" t="s">
        <v>33</v>
      </c>
      <c r="C96" s="7" t="s">
        <v>34</v>
      </c>
      <c r="D96" s="7">
        <f>TR(C5,"TR.RecentControvShareholders","#1 curn=#2 Scale=2 ch:fd transpose:y NULL=BLANK",,C13,C12)</f>
        <v>0</v>
      </c>
      <c r="E96" s="7"/>
      <c r="F96" s="7"/>
      <c r="G96" s="7"/>
      <c r="H96" s="7"/>
      <c r="I96" s="7"/>
    </row>
    <row r="97" spans="2:9" s="10" ht="15">
      <c r="B97" s="7" t="s">
        <v>33</v>
      </c>
      <c r="C97" s="7" t="s">
        <v>34</v>
      </c>
      <c r="D97" s="7">
        <f>TR(C5,"TR.RecentControvInsiderDealings","#1 curn=#2 Scale=2 ch:fd transpose:y NULL=BLANK",,C13,C12)</f>
        <v>0</v>
      </c>
      <c r="E97" s="7"/>
      <c r="F97" s="7"/>
      <c r="G97" s="7"/>
      <c r="H97" s="7"/>
      <c r="I97" s="7"/>
    </row>
    <row r="98" spans="2:9" s="10" ht="15">
      <c r="B98" s="7" t="s">
        <v>33</v>
      </c>
      <c r="C98" s="7" t="s">
        <v>34</v>
      </c>
      <c r="D98" s="7">
        <f>TR(C5,"TR.RecentControvAccounting","#1 curn=#2 Scale=2 ch:fd transpose:y NULL=BLANK",,C13,C12)</f>
        <v>0</v>
      </c>
      <c r="E98" s="7"/>
      <c r="F98" s="7"/>
      <c r="G98" s="7"/>
      <c r="H98" s="7"/>
      <c r="I98" s="7"/>
    </row>
    <row r="99" spans="2:9" s="10" ht="15">
      <c r="B99" s="7" t="s">
        <v>33</v>
      </c>
      <c r="C99" s="7" t="s">
        <v>34</v>
      </c>
      <c r="D99" s="7">
        <f>TR(C5,"TR.RecentControvDeforestation","#1 curn=#2 Scale=2 ch:fd transpose:y NULL=BLANK",,C13,C12)</f>
        <v>0</v>
      </c>
      <c r="E99" s="7"/>
      <c r="F99" s="7"/>
      <c r="G99" s="7"/>
      <c r="H99" s="7"/>
      <c r="I99" s="7"/>
    </row>
    <row r="100" spans="2:9" s="10" ht="15">
      <c r="B100" s="7" t="s">
        <v>33</v>
      </c>
      <c r="C100" s="7" t="s">
        <v>34</v>
      </c>
      <c r="D100" s="7">
        <f>TR(C5,"TR.RecentControvExtractionVirginNaturalResources","#1 curn=#2 Scale=2 ch:fd transpose:y NULL=BLANK",,C13,C12)</f>
        <v>0</v>
      </c>
      <c r="E100" s="7"/>
      <c r="F100" s="7"/>
      <c r="G100" s="7"/>
      <c r="H100" s="7"/>
      <c r="I100" s="7"/>
    </row>
    <row r="101" spans="2:9" s="10" ht="15">
      <c r="B101" s="7" t="s">
        <v>33</v>
      </c>
      <c r="C101" s="7" t="s">
        <v>34</v>
      </c>
      <c r="D101" s="7">
        <f>TR(C5,"TR.RecentBiodiversityAndEcosystemControversies","#1 curn=#2 Scale=2 ch:fd transpose:y NULL=BLANK",,C13,C12)</f>
        <v>0</v>
      </c>
      <c r="E101" s="7"/>
      <c r="F101" s="7"/>
      <c r="G101" s="7"/>
      <c r="H101" s="7"/>
      <c r="I101" s="7"/>
    </row>
    <row r="102" spans="2:9" s="10" ht="15">
      <c r="B102" s="7" t="s">
        <v>33</v>
      </c>
      <c r="C102" s="7" t="s">
        <v>34</v>
      </c>
      <c r="D102" s="7">
        <f>TR(C5,"TR.RecentControvWaterAndMarineResource","#1 curn=#2 Scale=2 ch:fd transpose:y NULL=BLANK",,C13,C12)</f>
        <v>0</v>
      </c>
      <c r="E102" s="7"/>
      <c r="F102" s="7"/>
      <c r="G102" s="7"/>
      <c r="H102" s="7"/>
      <c r="I102" s="7"/>
    </row>
    <row r="103" spans="2:9" s="10" ht="15">
      <c r="B103" s="7" t="s">
        <v>33</v>
      </c>
      <c r="C103" s="7" t="s">
        <v>34</v>
      </c>
      <c r="D103" s="7">
        <f>TR(C5,"TR.RecentControvExposureToSupplyRisk","#1 curn=#2 Scale=2 ch:fd transpose:y NULL=BLANK",,C13,C12)</f>
        <v>0</v>
      </c>
      <c r="E103" s="7"/>
      <c r="F103" s="7"/>
      <c r="G103" s="7"/>
      <c r="H103" s="7"/>
      <c r="I103" s="7"/>
    </row>
    <row r="104" spans="2:9" s="10" ht="15">
      <c r="B104" s="7" t="s">
        <v>33</v>
      </c>
      <c r="C104" s="7" t="s">
        <v>34</v>
      </c>
      <c r="D104" s="7">
        <f>TR(C5,"TR.RecentResourceUseControversies","#1 curn=#2 Scale=2 ch:fd transpose:y NULL=BLANK",,C13,C12)</f>
        <v>0</v>
      </c>
      <c r="E104" s="7"/>
      <c r="F104" s="7"/>
      <c r="G104" s="7"/>
      <c r="H104" s="7"/>
      <c r="I104" s="7"/>
    </row>
    <row r="105" spans="2:9" s="10" ht="15">
      <c r="B105" s="7" t="s">
        <v>33</v>
      </c>
      <c r="C105" s="7" t="s">
        <v>34</v>
      </c>
      <c r="D105" s="7">
        <f>TR(C5,"TR.RecentControvEmission","#1 curn=#2 Scale=2 ch:fd transpose:y NULL=BLANK",,C13,C12)</f>
        <v>0</v>
      </c>
      <c r="E105" s="7"/>
      <c r="F105" s="7"/>
      <c r="G105" s="7"/>
      <c r="H105" s="7"/>
      <c r="I105" s="7"/>
    </row>
    <row r="106" spans="2:9" s="10" ht="15">
      <c r="B106" s="7" t="s">
        <v>33</v>
      </c>
      <c r="C106" s="7" t="s">
        <v>34</v>
      </c>
      <c r="D106" s="7">
        <f>TR(C5,"TR.RecentControvFossilFuelDebtFinance","#1 curn=#2 Scale=2 ch:fd transpose:y NULL=BLANK",,C13,C12)</f>
        <v>0</v>
      </c>
      <c r="E106" s="7"/>
      <c r="F106" s="7"/>
      <c r="G106" s="7"/>
      <c r="H106" s="7"/>
      <c r="I106" s="7"/>
    </row>
    <row r="107" spans="2:9" s="10" ht="15">
      <c r="B107" s="7" t="s">
        <v>33</v>
      </c>
      <c r="C107" s="7" t="s">
        <v>34</v>
      </c>
      <c r="D107" s="7">
        <f>TR(C5,"TR.RecentControvClimateRiskInsurance","#1 curn=#2 Scale=2 ch:fd transpose:y NULL=BLANK",,C13,C12)</f>
        <v>0</v>
      </c>
      <c r="E107" s="7"/>
      <c r="F107" s="7"/>
      <c r="G107" s="7"/>
      <c r="H107" s="7"/>
      <c r="I107" s="7"/>
    </row>
    <row r="108" spans="2:9" s="10" ht="15">
      <c r="B108" s="7" t="s">
        <v>33</v>
      </c>
      <c r="C108" s="7" t="s">
        <v>34</v>
      </c>
      <c r="D108" s="7">
        <f>TR(C5,"TR.RecentControvWastewaterManagement","#1 curn=#2 Scale=2 ch:fd transpose:y NULL=BLANK",,C13,C12)</f>
        <v>0</v>
      </c>
      <c r="E108" s="7"/>
      <c r="F108" s="7"/>
      <c r="G108" s="7"/>
      <c r="H108" s="7"/>
      <c r="I108" s="7"/>
    </row>
    <row r="109" spans="2:9" s="10" ht="15">
      <c r="B109" s="7" t="s">
        <v>33</v>
      </c>
      <c r="C109" s="7" t="s">
        <v>34</v>
      </c>
      <c r="D109" s="7">
        <f>TR(C5,"TR.RecentControvlowcarbontransition","#1 curn=#2 Scale=2 ch:fd transpose:y NULL=BLANK",,C13,C12)</f>
        <v>0</v>
      </c>
      <c r="E109" s="7"/>
      <c r="F109" s="7"/>
      <c r="G109" s="7"/>
      <c r="H109" s="7"/>
      <c r="I109" s="7"/>
    </row>
    <row r="110" spans="2:9" s="10" ht="15">
      <c r="B110" s="7" t="s">
        <v>33</v>
      </c>
      <c r="C110" s="7" t="s">
        <v>34</v>
      </c>
      <c r="D110" s="7">
        <f>TR(C5,"TR.RecentPollutionControversies","#1 curn=#2 Scale=2 ch:fd transpose:y NULL=BLANK",,C13,C12)</f>
        <v>0</v>
      </c>
      <c r="E110" s="7"/>
      <c r="F110" s="7"/>
      <c r="G110" s="7"/>
      <c r="H110" s="7"/>
      <c r="I110" s="7"/>
    </row>
    <row r="111" spans="2:9" s="10" ht="15">
      <c r="B111" s="7" t="s">
        <v>33</v>
      </c>
      <c r="C111" s="7" t="s">
        <v>34</v>
      </c>
      <c r="D111" s="7">
        <f>TR(C5,"TR.RecentLobbyingControversies","#1 curn=#2 Scale=2 ch:fd transpose:y NULL=BLANK",,C13,C12)</f>
        <v>0</v>
      </c>
      <c r="E111" s="7"/>
      <c r="F111" s="7"/>
      <c r="G111" s="7"/>
      <c r="H111" s="7"/>
      <c r="I111" s="7"/>
    </row>
    <row r="112" spans="2:9" s="10" ht="15">
      <c r="B112" s="7" t="s">
        <v>33</v>
      </c>
      <c r="C112" s="7" t="s">
        <v>34</v>
      </c>
      <c r="D112" s="7">
        <f>TR(C5,"TR.RecentGreenWashingFinesControversies","#1 curn=#2 Scale=2 ch:fd transpose:y NULL=BLANK",,C13,C12)</f>
        <v>0</v>
      </c>
      <c r="E112" s="7"/>
      <c r="F112" s="7"/>
      <c r="G112" s="7"/>
      <c r="H112" s="7"/>
      <c r="I112" s="7"/>
    </row>
  </sheetData>
  <pageMargins left="0.5" right="0.5" top="1" bottom="1" header="0.5" footer="0.75"/>
  <pageSetup fitToHeight="0" orientation="portrait"/>
  <headerFooter/>
  <drawing r:id="rId1"/>
</worksheet>
</file>

<file path=xl/worksheets/sheet6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pageSetUpPr fitToPage="1"/>
  </sheetPr>
  <dimension ref="B2:F66"/>
  <sheetViews>
    <sheetView view="normal" workbookViewId="0">
      <selection pane="topLeft" activeCell="A1" sqref="A1"/>
    </sheetView>
  </sheetViews>
  <sheetFormatPr defaultRowHeight="15" baseColWidth="0"/>
  <cols>
    <col min="1" max="1" width="1.7109375" style="0" customWidth="1"/>
    <col min="2" max="4" width="40.7109375" style="0" customWidth="1"/>
    <col min="5" max="6" width="15.7109375" style="0" customWidth="1"/>
  </cols>
  <sheetData>
    <row r="2" spans="2:6" s="10" customFormat="1" ht="45" customHeight="1">
      <c r="B2"/>
      <c r="C2" s="1"/>
      <c r="D2" s="1"/>
      <c r="E2" s="1"/>
      <c r="F2" s="1"/>
    </row>
    <row r="3" spans="2:6" s="10" customFormat="1" ht="130.5" customHeight="1">
      <c r="B3" s="2" t="s">
        <v>0</v>
      </c>
      <c r="C3" s="3"/>
      <c r="D3" s="3"/>
      <c r="E3" s="3"/>
      <c r="F3" s="3"/>
    </row>
    <row r="4" spans="2:6" s="10" customFormat="1" ht="40" customHeight="1">
      <c r="B4" s="2" t="s">
        <v>35</v>
      </c>
      <c r="C4" s="3"/>
      <c r="D4" s="3"/>
      <c r="E4" s="3"/>
      <c r="F4" s="3"/>
    </row>
    <row r="5" spans="2:6" s="10" ht="15">
      <c r="B5" s="1" t="s">
        <v>4</v>
      </c>
      <c r="C5" s="1">
        <f>TR(C6,"TR.CommonName")</f>
        <v>0</v>
      </c>
      <c r="D5" s="1"/>
      <c r="E5" s="1"/>
      <c r="F5" s="1"/>
    </row>
    <row r="6" spans="2:6" s="10" ht="15">
      <c r="B6" s="1" t="s">
        <v>36</v>
      </c>
      <c r="C6" s="1" t="s">
        <v>3</v>
      </c>
      <c r="D6" s="1"/>
      <c r="E6" s="1"/>
      <c r="F6" s="1"/>
    </row>
    <row r="7" spans="2:6" s="10" ht="15">
      <c r="B7" s="1" t="s">
        <v>37</v>
      </c>
      <c r="C7" s="1" t="s">
        <v>38</v>
      </c>
      <c r="D7" s="1"/>
      <c r="E7" s="1"/>
      <c r="F7" s="1"/>
    </row>
    <row r="8" spans="2:6" s="10" ht="15">
      <c r="B8" s="1" t="s">
        <v>39</v>
      </c>
      <c r="C8" s="1" t="s">
        <v>40</v>
      </c>
      <c r="D8" s="1"/>
      <c r="E8" s="1"/>
      <c r="F8" s="1"/>
    </row>
    <row r="9" spans="2:6" s="10" ht="15">
      <c r="B9" s="1" t="s">
        <v>41</v>
      </c>
      <c r="C9" s="1" t="s">
        <v>42</v>
      </c>
      <c r="D9" s="1"/>
      <c r="E9" s="1"/>
      <c r="F9" s="1"/>
    </row>
    <row r="10" spans="2:6" s="10" ht="15">
      <c r="B10" s="1" t="s">
        <v>7</v>
      </c>
      <c r="C10" s="1">
        <f>TR(C6,"TR.TRBCIndustryGroup")</f>
        <v>0</v>
      </c>
      <c r="D10" s="1"/>
      <c r="E10" s="1"/>
      <c r="F10" s="1"/>
    </row>
    <row r="11" spans="2:6" s="10" ht="15">
      <c r="B11" s="1" t="s">
        <v>43</v>
      </c>
      <c r="C11" s="1">
        <f>IF(ISBLANK(C9),"",VLOOKUP(C9,'Data Items'!$B$3:$E$25,3,False))</f>
        <v>0</v>
      </c>
      <c r="D11" s="1"/>
      <c r="E11" s="1"/>
      <c r="F11" s="1"/>
    </row>
    <row r="12" spans="2:6" s="10" ht="15">
      <c r="B12" s="1" t="s">
        <v>16</v>
      </c>
      <c r="C12" s="1">
        <f>IF(ISBLANK(C9),"",VLOOKUP(C9,'Data Items'!$B$3:$E$25,4,False))</f>
        <v>0</v>
      </c>
      <c r="D12" s="1"/>
      <c r="E12" s="1"/>
      <c r="F12" s="1"/>
    </row>
    <row r="13" spans="2:6" s="10" ht="15">
      <c r="B13" s="1" t="s">
        <v>44</v>
      </c>
      <c r="C13" s="1"/>
      <c r="D13" s="1"/>
      <c r="E13" s="1"/>
      <c r="F13" s="1"/>
    </row>
    <row r="14" spans="2:6" s="10" ht="15">
      <c r="B14" s="1">
        <f>VLOOKUP(C9,'Data Items'!$B$3:$F$25,5,False)&amp;"(addsource=True).esgsourcedate"</f>
        <v>0</v>
      </c>
      <c r="C14" s="1">
        <f>VLOOKUP(C9,'Data Items'!$B$3:$F$25,5,False)&amp;"(addsource=True).esgsourceTitle"</f>
        <v>0</v>
      </c>
      <c r="D14" s="1">
        <f>VLOOKUP(C9,'Data Items'!$B$3:$F$25,5,False)&amp;"(addsource=True).esgsourceAbstract"</f>
        <v>0</v>
      </c>
      <c r="E14" s="1">
        <f>VLOOKUP(C9,'Data Items'!$B$3:$F$25,5,False)&amp;"(addsource=True).esgsourcePublisher"</f>
        <v>0</v>
      </c>
      <c r="F14" s="1">
        <f>VLOOKUP(C9,'Data Items'!$B$3:$F$25,5,False)&amp;"(addsource=True).esgsourceURL"</f>
        <v>0</v>
      </c>
    </row>
    <row r="15" spans="2:6" s="10" ht="15">
      <c r="B15" s="4" t="s">
        <v>45</v>
      </c>
      <c r="C15" s="4" t="s">
        <v>46</v>
      </c>
      <c r="D15" s="4" t="s">
        <v>47</v>
      </c>
      <c r="E15" s="4" t="s">
        <v>48</v>
      </c>
      <c r="F15" s="4" t="s">
        <v>49</v>
      </c>
    </row>
    <row r="16" spans="2:6" s="10" ht="15">
      <c r="B16" s="5">
        <f>TR(C6,B14,"SDate=#1 EDate=#2 Null=blank",,C7,C8)</f>
        <v>0</v>
      </c>
      <c r="C16" s="5">
        <f>TR(C6,C14,"SDate=#1 EDate=#2 Null=blank",,C7,C8)</f>
        <v>0</v>
      </c>
      <c r="D16" s="5">
        <f>TR(C6,D14,"SDate=#1 EDate=#2 Null=blank",,C7,C8)</f>
        <v>0</v>
      </c>
      <c r="E16" s="5">
        <f>TR(C6,E14,"SDate=#1 EDate=#2 Null=blank",,C7,C8)</f>
        <v>0</v>
      </c>
      <c r="F16" s="5">
        <f>TR(C6,F14,"SDate=#1 EDate=#2 Null=blank",,C7,C8)</f>
        <v>0</v>
      </c>
    </row>
    <row r="17" spans="2:6" s="10" ht="15">
      <c r="B17" s="8"/>
      <c r="C17" s="8"/>
      <c r="D17" s="8"/>
      <c r="E17" s="8"/>
      <c r="F17" s="8"/>
    </row>
    <row r="18" spans="2:6" s="10" ht="15">
      <c r="B18" s="8"/>
      <c r="C18" s="8"/>
      <c r="D18" s="8"/>
      <c r="E18" s="8"/>
      <c r="F18" s="8"/>
    </row>
    <row r="19" spans="2:6" s="10" ht="15">
      <c r="B19" s="8"/>
      <c r="C19" s="8"/>
      <c r="D19" s="8"/>
      <c r="E19" s="8"/>
      <c r="F19" s="8"/>
    </row>
    <row r="20" spans="2:6" s="10" ht="15">
      <c r="B20" s="8"/>
      <c r="C20" s="8"/>
      <c r="D20" s="8"/>
      <c r="E20" s="8"/>
      <c r="F20" s="8"/>
    </row>
    <row r="21" spans="2:6" s="10" ht="15">
      <c r="B21" s="8"/>
      <c r="C21" s="8"/>
      <c r="D21" s="8"/>
      <c r="E21" s="8"/>
      <c r="F21" s="8"/>
    </row>
    <row r="22" spans="2:6" s="10" ht="15">
      <c r="B22" s="8"/>
      <c r="C22" s="8"/>
      <c r="D22" s="8"/>
      <c r="E22" s="8"/>
      <c r="F22" s="8"/>
    </row>
    <row r="23" spans="2:6" s="10" ht="15">
      <c r="B23" s="8"/>
      <c r="C23" s="8"/>
      <c r="D23" s="8"/>
      <c r="E23" s="8"/>
      <c r="F23" s="8"/>
    </row>
    <row r="24" spans="2:6" s="10" ht="15">
      <c r="B24" s="8"/>
      <c r="C24" s="8"/>
      <c r="D24" s="8"/>
      <c r="E24" s="8"/>
      <c r="F24" s="8"/>
    </row>
    <row r="25" spans="2:6" s="10" ht="15">
      <c r="B25" s="8"/>
      <c r="C25" s="8"/>
      <c r="D25" s="8"/>
      <c r="E25" s="8"/>
      <c r="F25" s="8"/>
    </row>
    <row r="26" spans="2:6" s="10" ht="15">
      <c r="B26" s="8"/>
      <c r="C26" s="8"/>
      <c r="D26" s="8"/>
      <c r="E26" s="8"/>
      <c r="F26" s="8"/>
    </row>
    <row r="27" spans="2:6" s="10" ht="15">
      <c r="B27" s="8"/>
      <c r="C27" s="8"/>
      <c r="D27" s="8"/>
      <c r="E27" s="8"/>
      <c r="F27" s="8"/>
    </row>
    <row r="28" spans="2:6" s="10" ht="15">
      <c r="B28" s="8"/>
      <c r="C28" s="8"/>
      <c r="D28" s="8"/>
      <c r="E28" s="8"/>
      <c r="F28" s="8"/>
    </row>
    <row r="29" spans="2:6" s="10" ht="15">
      <c r="B29" s="8"/>
      <c r="C29" s="8"/>
      <c r="D29" s="8"/>
      <c r="E29" s="8"/>
      <c r="F29" s="8"/>
    </row>
    <row r="30" spans="2:6" s="10" ht="15">
      <c r="B30" s="8"/>
      <c r="C30" s="8"/>
      <c r="D30" s="8"/>
      <c r="E30" s="8"/>
      <c r="F30" s="8"/>
    </row>
    <row r="31" spans="2:6" s="10" ht="15">
      <c r="B31" s="8"/>
      <c r="C31" s="8"/>
      <c r="D31" s="8"/>
      <c r="E31" s="8"/>
      <c r="F31" s="8"/>
    </row>
    <row r="32" spans="2:6" s="10" ht="15">
      <c r="B32" s="8"/>
      <c r="C32" s="8"/>
      <c r="D32" s="8"/>
      <c r="E32" s="8"/>
      <c r="F32" s="8"/>
    </row>
    <row r="33" spans="2:6" s="10" ht="15">
      <c r="B33" s="8"/>
      <c r="C33" s="8"/>
      <c r="D33" s="8"/>
      <c r="E33" s="8"/>
      <c r="F33" s="8"/>
    </row>
    <row r="34" spans="2:6" s="10" ht="15">
      <c r="B34" s="8"/>
      <c r="C34" s="8"/>
      <c r="D34" s="8"/>
      <c r="E34" s="8"/>
      <c r="F34" s="8"/>
    </row>
    <row r="35" spans="2:6" s="10" ht="15">
      <c r="B35" s="8"/>
      <c r="C35" s="8"/>
      <c r="D35" s="8"/>
      <c r="E35" s="8"/>
      <c r="F35" s="8"/>
    </row>
    <row r="36" spans="2:6" s="10" ht="15">
      <c r="B36" s="8"/>
      <c r="C36" s="8"/>
      <c r="D36" s="8"/>
      <c r="E36" s="8"/>
      <c r="F36" s="8"/>
    </row>
    <row r="37" spans="2:6" s="10" ht="15">
      <c r="B37" s="8"/>
      <c r="C37" s="8"/>
      <c r="D37" s="8"/>
      <c r="E37" s="8"/>
      <c r="F37" s="8"/>
    </row>
    <row r="38" spans="2:6" s="10" ht="15">
      <c r="B38" s="8"/>
      <c r="C38" s="8"/>
      <c r="D38" s="8"/>
      <c r="E38" s="8"/>
      <c r="F38" s="8"/>
    </row>
    <row r="39" spans="2:6" s="10" ht="15">
      <c r="B39" s="8"/>
      <c r="C39" s="8"/>
      <c r="D39" s="8"/>
      <c r="E39" s="8"/>
      <c r="F39" s="8"/>
    </row>
    <row r="40" spans="2:6" s="10" ht="15">
      <c r="B40" s="8"/>
      <c r="C40" s="8"/>
      <c r="D40" s="8"/>
      <c r="E40" s="8"/>
      <c r="F40" s="8"/>
    </row>
    <row r="41" spans="2:6" s="10" ht="15">
      <c r="B41" s="8"/>
      <c r="C41" s="8"/>
      <c r="D41" s="8"/>
      <c r="E41" s="8"/>
      <c r="F41" s="8"/>
    </row>
    <row r="42" spans="2:6" s="10" ht="15">
      <c r="B42" s="8"/>
      <c r="C42" s="8"/>
      <c r="D42" s="8"/>
      <c r="E42" s="8"/>
      <c r="F42" s="8"/>
    </row>
    <row r="43" spans="2:6" s="10" ht="15">
      <c r="B43" s="8"/>
      <c r="C43" s="8"/>
      <c r="D43" s="8"/>
      <c r="E43" s="8"/>
      <c r="F43" s="8"/>
    </row>
    <row r="44" spans="2:6" s="10" ht="15">
      <c r="B44" s="8"/>
      <c r="C44" s="8"/>
      <c r="D44" s="8"/>
      <c r="E44" s="8"/>
      <c r="F44" s="8"/>
    </row>
    <row r="45" spans="2:6" s="10" ht="15">
      <c r="B45" s="8"/>
      <c r="C45" s="8"/>
      <c r="D45" s="8"/>
      <c r="E45" s="8"/>
      <c r="F45" s="8"/>
    </row>
    <row r="46" spans="2:6" s="10" ht="15">
      <c r="B46" s="8"/>
      <c r="C46" s="8"/>
      <c r="D46" s="8"/>
      <c r="E46" s="8"/>
      <c r="F46" s="8"/>
    </row>
    <row r="47" spans="2:6" s="10" ht="15">
      <c r="B47" s="8"/>
      <c r="C47" s="8"/>
      <c r="D47" s="8"/>
      <c r="E47" s="8"/>
      <c r="F47" s="8"/>
    </row>
    <row r="48" spans="2:6" s="10" ht="15">
      <c r="B48" s="8"/>
      <c r="C48" s="8"/>
      <c r="D48" s="8"/>
      <c r="E48" s="8"/>
      <c r="F48" s="8"/>
    </row>
    <row r="49" spans="2:6" s="10" ht="15">
      <c r="B49" s="8"/>
      <c r="C49" s="8"/>
      <c r="D49" s="8"/>
      <c r="E49" s="8"/>
      <c r="F49" s="8"/>
    </row>
    <row r="50" spans="2:6" s="10" ht="15">
      <c r="B50" s="8"/>
      <c r="C50" s="8"/>
      <c r="D50" s="8"/>
      <c r="E50" s="8"/>
      <c r="F50" s="8"/>
    </row>
    <row r="51" spans="2:6" s="10" ht="15">
      <c r="B51" s="8"/>
      <c r="C51" s="8"/>
      <c r="D51" s="8"/>
      <c r="E51" s="8"/>
      <c r="F51" s="8"/>
    </row>
    <row r="52" spans="2:6" s="10" ht="15">
      <c r="B52" s="8"/>
      <c r="C52" s="8"/>
      <c r="D52" s="8"/>
      <c r="E52" s="8"/>
      <c r="F52" s="8"/>
    </row>
    <row r="53" spans="2:6" s="10" ht="15">
      <c r="B53" s="8"/>
      <c r="C53" s="8"/>
      <c r="D53" s="8"/>
      <c r="E53" s="8"/>
      <c r="F53" s="8"/>
    </row>
    <row r="54" spans="2:6" s="10" ht="15">
      <c r="B54" s="8"/>
      <c r="C54" s="8"/>
      <c r="D54" s="8"/>
      <c r="E54" s="8"/>
      <c r="F54" s="8"/>
    </row>
    <row r="55" spans="2:6" s="10" ht="15">
      <c r="B55" s="8"/>
      <c r="C55" s="8"/>
      <c r="D55" s="8"/>
      <c r="E55" s="8"/>
      <c r="F55" s="8"/>
    </row>
    <row r="56" spans="2:6" s="10" ht="15">
      <c r="B56" s="8"/>
      <c r="C56" s="8"/>
      <c r="D56" s="8"/>
      <c r="E56" s="8"/>
      <c r="F56" s="8"/>
    </row>
    <row r="57" spans="2:6" s="10" ht="15">
      <c r="B57" s="8"/>
      <c r="C57" s="8"/>
      <c r="D57" s="8"/>
      <c r="E57" s="8"/>
      <c r="F57" s="8"/>
    </row>
    <row r="58" spans="2:6" s="10" ht="15">
      <c r="B58" s="8"/>
      <c r="C58" s="8"/>
      <c r="D58" s="8"/>
      <c r="E58" s="8"/>
      <c r="F58" s="8"/>
    </row>
    <row r="59" spans="2:6" s="10" ht="15">
      <c r="B59" s="8"/>
      <c r="C59" s="8"/>
      <c r="D59" s="8"/>
      <c r="E59" s="8"/>
      <c r="F59" s="8"/>
    </row>
    <row r="60" spans="2:6" s="10" ht="15">
      <c r="B60" s="8"/>
      <c r="C60" s="8"/>
      <c r="D60" s="8"/>
      <c r="E60" s="8"/>
      <c r="F60" s="8"/>
    </row>
    <row r="61" spans="2:6" s="10" ht="15">
      <c r="B61" s="8"/>
      <c r="C61" s="8"/>
      <c r="D61" s="8"/>
      <c r="E61" s="8"/>
      <c r="F61" s="8"/>
    </row>
    <row r="62" spans="2:6" s="10" ht="15">
      <c r="B62" s="8"/>
      <c r="C62" s="8"/>
      <c r="D62" s="8"/>
      <c r="E62" s="8"/>
      <c r="F62" s="8"/>
    </row>
    <row r="63" spans="2:6" s="10" ht="15">
      <c r="B63" s="8"/>
      <c r="C63" s="8"/>
      <c r="D63" s="8"/>
      <c r="E63" s="8"/>
      <c r="F63" s="8"/>
    </row>
    <row r="64" spans="2:6" s="10" ht="15">
      <c r="B64" s="8"/>
      <c r="C64" s="8"/>
      <c r="D64" s="8"/>
      <c r="E64" s="8"/>
      <c r="F64" s="8"/>
    </row>
    <row r="65" spans="2:6" s="10" ht="15">
      <c r="B65" s="8"/>
      <c r="C65" s="8"/>
      <c r="D65" s="8"/>
      <c r="E65" s="8"/>
      <c r="F65" s="8"/>
    </row>
    <row r="66" spans="2:6" s="10" ht="15">
      <c r="B66" s="8"/>
      <c r="C66" s="8"/>
      <c r="D66" s="8"/>
      <c r="E66" s="8"/>
      <c r="F66" s="8"/>
    </row>
  </sheetData>
  <pageMargins left="0.5" right="0.5" top="1" bottom="1" header="0.5" footer="0.75"/>
  <pageSetup fitToHeight="0" orientation="portrait"/>
  <headerFooter/>
  <drawing r:id="rId1"/>
</worksheet>
</file>

<file path=xl/worksheets/sheet7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pageSetUpPr fitToPage="1"/>
  </sheetPr>
  <dimension ref="B2:H28"/>
  <sheetViews>
    <sheetView view="normal" workbookViewId="0">
      <selection pane="topLeft" activeCell="A1" sqref="A1"/>
    </sheetView>
  </sheetViews>
  <sheetFormatPr defaultRowHeight="15" baseColWidth="0"/>
  <cols>
    <col min="1" max="1" width="1.7109375" style="0" customWidth="1"/>
    <col min="2" max="8" width="30.7109375" style="0" customWidth="1"/>
  </cols>
  <sheetData>
    <row r="2" spans="2:8" s="10" customFormat="1" ht="45" customHeight="1">
      <c r="B2"/>
      <c r="C2" s="1"/>
      <c r="D2" s="1"/>
      <c r="E2" s="1"/>
      <c r="F2" s="1"/>
      <c r="G2" s="1"/>
      <c r="H2" s="1"/>
    </row>
    <row r="3" spans="2:8" s="10" customFormat="1" ht="130.5" customHeight="1">
      <c r="B3" s="2" t="s">
        <v>0</v>
      </c>
      <c r="C3" s="2"/>
      <c r="D3" s="2"/>
      <c r="E3" s="2"/>
      <c r="F3" s="2"/>
      <c r="G3" s="2"/>
      <c r="H3" s="2"/>
    </row>
    <row r="4" spans="2:8" s="10" customFormat="1" ht="40" customHeight="1">
      <c r="B4" s="2" t="s">
        <v>50</v>
      </c>
      <c r="C4" s="2"/>
      <c r="D4" s="2"/>
      <c r="E4" s="2"/>
      <c r="F4" s="2"/>
      <c r="G4" s="2"/>
      <c r="H4" s="2"/>
    </row>
    <row r="5" spans="2:8" s="10" ht="15">
      <c r="B5" s="4" t="s">
        <v>46</v>
      </c>
      <c r="C5" s="4" t="s">
        <v>51</v>
      </c>
      <c r="D5" s="4" t="s">
        <v>43</v>
      </c>
      <c r="E5" s="4" t="s">
        <v>16</v>
      </c>
      <c r="F5" s="4" t="s">
        <v>52</v>
      </c>
      <c r="G5" s="4" t="s">
        <v>53</v>
      </c>
      <c r="H5" s="4" t="s">
        <v>54</v>
      </c>
    </row>
    <row r="6" spans="2:8" s="10" ht="15">
      <c r="B6" s="9" t="s">
        <v>55</v>
      </c>
      <c r="C6" s="9">
        <v>1</v>
      </c>
      <c r="D6" s="9" t="s">
        <v>22</v>
      </c>
      <c r="E6" s="9" t="s">
        <v>25</v>
      </c>
      <c r="F6" s="9" t="s">
        <v>56</v>
      </c>
      <c r="G6" s="9" t="s">
        <v>57</v>
      </c>
      <c r="H6" s="9" t="s">
        <v>58</v>
      </c>
    </row>
    <row r="7" spans="2:8" s="10" ht="15">
      <c r="B7" s="9" t="s">
        <v>42</v>
      </c>
      <c r="C7" s="9">
        <v>2</v>
      </c>
      <c r="D7" s="9" t="s">
        <v>22</v>
      </c>
      <c r="E7" s="9" t="s">
        <v>25</v>
      </c>
      <c r="F7" s="9" t="s">
        <v>59</v>
      </c>
      <c r="G7" s="9" t="s">
        <v>60</v>
      </c>
      <c r="H7" s="9" t="s">
        <v>58</v>
      </c>
    </row>
    <row r="8" spans="2:8" s="10" ht="15">
      <c r="B8" s="9" t="s">
        <v>61</v>
      </c>
      <c r="C8" s="9">
        <v>3</v>
      </c>
      <c r="D8" s="9" t="s">
        <v>22</v>
      </c>
      <c r="E8" s="9" t="s">
        <v>25</v>
      </c>
      <c r="F8" s="9" t="s">
        <v>62</v>
      </c>
      <c r="G8" s="9" t="s">
        <v>63</v>
      </c>
      <c r="H8" s="9" t="s">
        <v>58</v>
      </c>
    </row>
    <row r="9" spans="2:8" s="10" ht="15">
      <c r="B9" s="9" t="s">
        <v>64</v>
      </c>
      <c r="C9" s="9">
        <v>4</v>
      </c>
      <c r="D9" s="9" t="s">
        <v>22</v>
      </c>
      <c r="E9" s="9" t="s">
        <v>25</v>
      </c>
      <c r="F9" s="9" t="s">
        <v>65</v>
      </c>
      <c r="G9" s="9" t="s">
        <v>66</v>
      </c>
      <c r="H9" s="9" t="s">
        <v>58</v>
      </c>
    </row>
    <row r="10" spans="2:8" s="10" ht="15">
      <c r="B10" s="9" t="s">
        <v>67</v>
      </c>
      <c r="C10" s="9">
        <v>5</v>
      </c>
      <c r="D10" s="9" t="s">
        <v>22</v>
      </c>
      <c r="E10" s="9" t="s">
        <v>25</v>
      </c>
      <c r="F10" s="9" t="s">
        <v>68</v>
      </c>
      <c r="G10" s="9" t="s">
        <v>69</v>
      </c>
      <c r="H10" s="9" t="s">
        <v>58</v>
      </c>
    </row>
    <row r="11" spans="2:8" s="10" ht="15">
      <c r="B11" s="9" t="s">
        <v>70</v>
      </c>
      <c r="C11" s="9">
        <v>6</v>
      </c>
      <c r="D11" s="9" t="s">
        <v>22</v>
      </c>
      <c r="E11" s="9" t="s">
        <v>25</v>
      </c>
      <c r="F11" s="9" t="s">
        <v>71</v>
      </c>
      <c r="G11" s="9" t="s">
        <v>72</v>
      </c>
      <c r="H11" s="9" t="s">
        <v>58</v>
      </c>
    </row>
    <row r="12" spans="2:8" s="10" ht="15">
      <c r="B12" s="9" t="s">
        <v>73</v>
      </c>
      <c r="C12" s="9">
        <v>7</v>
      </c>
      <c r="D12" s="9" t="s">
        <v>22</v>
      </c>
      <c r="E12" s="9" t="s">
        <v>24</v>
      </c>
      <c r="F12" s="9" t="s">
        <v>74</v>
      </c>
      <c r="G12" s="9" t="s">
        <v>75</v>
      </c>
      <c r="H12" s="9" t="s">
        <v>58</v>
      </c>
    </row>
    <row r="13" spans="2:8" s="10" ht="15">
      <c r="B13" s="9" t="s">
        <v>76</v>
      </c>
      <c r="C13" s="9">
        <v>8</v>
      </c>
      <c r="D13" s="9" t="s">
        <v>22</v>
      </c>
      <c r="E13" s="9" t="s">
        <v>24</v>
      </c>
      <c r="F13" s="9" t="s">
        <v>77</v>
      </c>
      <c r="G13" s="9" t="s">
        <v>78</v>
      </c>
      <c r="H13" s="9" t="s">
        <v>58</v>
      </c>
    </row>
    <row r="14" spans="2:8" s="10" ht="15">
      <c r="B14" s="9" t="s">
        <v>79</v>
      </c>
      <c r="C14" s="9">
        <v>9</v>
      </c>
      <c r="D14" s="9" t="s">
        <v>22</v>
      </c>
      <c r="E14" s="9" t="s">
        <v>26</v>
      </c>
      <c r="F14" s="9" t="s">
        <v>80</v>
      </c>
      <c r="G14" s="9" t="s">
        <v>81</v>
      </c>
      <c r="H14" s="9" t="s">
        <v>58</v>
      </c>
    </row>
    <row r="15" spans="2:8" s="10" ht="15">
      <c r="B15" s="9" t="s">
        <v>82</v>
      </c>
      <c r="C15" s="9">
        <v>10</v>
      </c>
      <c r="D15" s="9" t="s">
        <v>22</v>
      </c>
      <c r="E15" s="9" t="s">
        <v>26</v>
      </c>
      <c r="F15" s="9" t="s">
        <v>83</v>
      </c>
      <c r="G15" s="9" t="s">
        <v>84</v>
      </c>
      <c r="H15" s="9" t="s">
        <v>58</v>
      </c>
    </row>
    <row r="16" spans="2:8" s="10" ht="15">
      <c r="B16" s="9" t="s">
        <v>85</v>
      </c>
      <c r="C16" s="9">
        <v>11</v>
      </c>
      <c r="D16" s="9" t="s">
        <v>22</v>
      </c>
      <c r="E16" s="9" t="s">
        <v>26</v>
      </c>
      <c r="F16" s="9" t="s">
        <v>86</v>
      </c>
      <c r="G16" s="9" t="s">
        <v>87</v>
      </c>
      <c r="H16" s="9" t="s">
        <v>58</v>
      </c>
    </row>
    <row r="17" spans="2:8" s="10" ht="15">
      <c r="B17" s="9" t="s">
        <v>88</v>
      </c>
      <c r="C17" s="9">
        <v>12</v>
      </c>
      <c r="D17" s="9" t="s">
        <v>22</v>
      </c>
      <c r="E17" s="9" t="s">
        <v>26</v>
      </c>
      <c r="F17" s="9" t="s">
        <v>89</v>
      </c>
      <c r="G17" s="9" t="s">
        <v>90</v>
      </c>
      <c r="H17" s="9" t="s">
        <v>58</v>
      </c>
    </row>
    <row r="18" spans="2:8" s="10" ht="15">
      <c r="B18" s="9" t="s">
        <v>91</v>
      </c>
      <c r="C18" s="9">
        <v>13</v>
      </c>
      <c r="D18" s="9" t="s">
        <v>22</v>
      </c>
      <c r="E18" s="9" t="s">
        <v>26</v>
      </c>
      <c r="F18" s="9" t="s">
        <v>92</v>
      </c>
      <c r="G18" s="9" t="s">
        <v>93</v>
      </c>
      <c r="H18" s="9" t="s">
        <v>58</v>
      </c>
    </row>
    <row r="19" spans="2:8" s="10" ht="15">
      <c r="B19" s="9" t="s">
        <v>94</v>
      </c>
      <c r="C19" s="9">
        <v>14</v>
      </c>
      <c r="D19" s="9" t="s">
        <v>22</v>
      </c>
      <c r="E19" s="9" t="s">
        <v>26</v>
      </c>
      <c r="F19" s="9" t="s">
        <v>95</v>
      </c>
      <c r="G19" s="9" t="s">
        <v>96</v>
      </c>
      <c r="H19" s="9" t="s">
        <v>58</v>
      </c>
    </row>
    <row r="20" spans="2:8" s="10" ht="15">
      <c r="B20" s="9" t="s">
        <v>97</v>
      </c>
      <c r="C20" s="9">
        <v>15</v>
      </c>
      <c r="D20" s="9" t="s">
        <v>22</v>
      </c>
      <c r="E20" s="9" t="s">
        <v>23</v>
      </c>
      <c r="F20" s="9" t="s">
        <v>98</v>
      </c>
      <c r="G20" s="9" t="s">
        <v>99</v>
      </c>
      <c r="H20" s="9" t="s">
        <v>58</v>
      </c>
    </row>
    <row r="21" spans="2:8" s="10" ht="15">
      <c r="B21" s="9" t="s">
        <v>100</v>
      </c>
      <c r="C21" s="9">
        <v>16</v>
      </c>
      <c r="D21" s="9" t="s">
        <v>22</v>
      </c>
      <c r="E21" s="9" t="s">
        <v>23</v>
      </c>
      <c r="F21" s="9" t="s">
        <v>101</v>
      </c>
      <c r="G21" s="9" t="s">
        <v>102</v>
      </c>
      <c r="H21" s="9" t="s">
        <v>58</v>
      </c>
    </row>
    <row r="22" spans="2:8" s="10" ht="15">
      <c r="B22" s="9" t="s">
        <v>103</v>
      </c>
      <c r="C22" s="9">
        <v>17</v>
      </c>
      <c r="D22" s="9" t="s">
        <v>22</v>
      </c>
      <c r="E22" s="9" t="s">
        <v>23</v>
      </c>
      <c r="F22" s="9" t="s">
        <v>104</v>
      </c>
      <c r="G22" s="9" t="s">
        <v>105</v>
      </c>
      <c r="H22" s="9" t="s">
        <v>58</v>
      </c>
    </row>
    <row r="23" spans="2:8" s="10" ht="15">
      <c r="B23" s="9" t="s">
        <v>106</v>
      </c>
      <c r="C23" s="9">
        <v>18</v>
      </c>
      <c r="D23" s="9" t="s">
        <v>22</v>
      </c>
      <c r="E23" s="9" t="s">
        <v>23</v>
      </c>
      <c r="F23" s="9" t="s">
        <v>107</v>
      </c>
      <c r="G23" s="9" t="s">
        <v>108</v>
      </c>
      <c r="H23" s="9" t="s">
        <v>58</v>
      </c>
    </row>
    <row r="24" spans="2:8" s="10" ht="15">
      <c r="B24" s="9" t="s">
        <v>109</v>
      </c>
      <c r="C24" s="9">
        <v>19</v>
      </c>
      <c r="D24" s="9" t="s">
        <v>27</v>
      </c>
      <c r="E24" s="9" t="s">
        <v>28</v>
      </c>
      <c r="F24" s="9" t="s">
        <v>110</v>
      </c>
      <c r="G24" s="9" t="s">
        <v>111</v>
      </c>
      <c r="H24" s="9" t="s">
        <v>58</v>
      </c>
    </row>
    <row r="25" spans="2:8" s="10" ht="15">
      <c r="B25" s="9" t="s">
        <v>112</v>
      </c>
      <c r="C25" s="9">
        <v>20</v>
      </c>
      <c r="D25" s="9" t="s">
        <v>27</v>
      </c>
      <c r="E25" s="9" t="s">
        <v>29</v>
      </c>
      <c r="F25" s="9" t="s">
        <v>113</v>
      </c>
      <c r="G25" s="9" t="s">
        <v>114</v>
      </c>
      <c r="H25" s="9" t="s">
        <v>58</v>
      </c>
    </row>
    <row r="26" spans="2:8" s="10" ht="15">
      <c r="B26" s="9" t="s">
        <v>115</v>
      </c>
      <c r="C26" s="9">
        <v>21</v>
      </c>
      <c r="D26" s="9" t="s">
        <v>27</v>
      </c>
      <c r="E26" s="9" t="s">
        <v>29</v>
      </c>
      <c r="F26" s="9" t="s">
        <v>116</v>
      </c>
      <c r="G26" s="9" t="s">
        <v>117</v>
      </c>
      <c r="H26" s="9" t="s">
        <v>58</v>
      </c>
    </row>
    <row r="27" spans="2:8" s="10" ht="15">
      <c r="B27" s="9" t="s">
        <v>118</v>
      </c>
      <c r="C27" s="9">
        <v>22</v>
      </c>
      <c r="D27" s="9" t="s">
        <v>27</v>
      </c>
      <c r="E27" s="9" t="s">
        <v>29</v>
      </c>
      <c r="F27" s="9" t="s">
        <v>119</v>
      </c>
      <c r="G27" s="9" t="s">
        <v>120</v>
      </c>
      <c r="H27" s="9" t="s">
        <v>58</v>
      </c>
    </row>
    <row r="28" spans="2:8" s="10" ht="15">
      <c r="B28" s="9" t="s">
        <v>121</v>
      </c>
      <c r="C28" s="9">
        <v>23</v>
      </c>
      <c r="D28" s="9" t="s">
        <v>122</v>
      </c>
      <c r="E28" s="9" t="s">
        <v>18</v>
      </c>
      <c r="F28" s="9" t="s">
        <v>123</v>
      </c>
      <c r="G28" s="9" t="s">
        <v>124</v>
      </c>
      <c r="H28" s="9" t="s">
        <v>58</v>
      </c>
    </row>
  </sheetData>
  <pageMargins left="0.5" right="0.5" top="1" bottom="1" header="0.5" footer="0.75"/>
  <pageSetup fitToHeight="0" orientation="portrait"/>
  <headerFooter/>
  <drawing r:id="rId1"/>
</worksheet>
</file>

<file path=docProps/app.xml><?xml version="1.0" encoding="utf-8"?>
<Properties xmlns="http://schemas.openxmlformats.org/officeDocument/2006/extended-properties">
  <Application>Microsoft Excel</Application>
  <AppVersion>14.0300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s.tr.eikonappserver</dc:creator>
  <dcterms:created xsi:type="dcterms:W3CDTF">2025-03-10T14:07:43Z</dcterms:created>
  <dcterms:modified xsi:type="dcterms:W3CDTF">2025-03-10T14:07:43Z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