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ry3988\Downloads\"/>
    </mc:Choice>
  </mc:AlternateContent>
  <xr:revisionPtr revIDLastSave="0" documentId="13_ncr:1_{5F13A45C-29CE-4508-9921-0281173ED263}" xr6:coauthVersionLast="47" xr6:coauthVersionMax="47" xr10:uidLastSave="{00000000-0000-0000-0000-000000000000}"/>
  <bookViews>
    <workbookView xWindow="3855" yWindow="3855" windowWidth="20370" windowHeight="11385" tabRatio="330" xr2:uid="{00000000-000D-0000-FFFF-FFFF00000000}"/>
  </bookViews>
  <sheets>
    <sheet name="Immunization" sheetId="7" r:id="rId1"/>
    <sheet name="Inverse Floater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7" l="1"/>
  <c r="X10" i="7"/>
  <c r="O55" i="7"/>
  <c r="F55" i="7"/>
  <c r="U9" i="7"/>
  <c r="U10" i="7"/>
  <c r="S10" i="7"/>
  <c r="T10" i="7"/>
  <c r="N29" i="7"/>
  <c r="T17" i="7"/>
  <c r="S17" i="7"/>
  <c r="S18" i="7"/>
  <c r="N57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35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36" i="7"/>
  <c r="N36" i="7"/>
  <c r="T18" i="7"/>
  <c r="L31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9" i="7"/>
  <c r="K31" i="7"/>
  <c r="K11" i="7"/>
  <c r="K12" i="7"/>
  <c r="K13" i="7"/>
  <c r="K14" i="7"/>
  <c r="K15" i="7"/>
  <c r="K16" i="7"/>
  <c r="K17" i="7"/>
  <c r="K18" i="7"/>
  <c r="K19" i="7"/>
  <c r="K20" i="7"/>
  <c r="K21" i="7"/>
  <c r="K22" i="7"/>
  <c r="K10" i="7"/>
  <c r="K9" i="7"/>
  <c r="J31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9" i="7"/>
  <c r="S16" i="7"/>
  <c r="E57" i="7"/>
  <c r="E35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3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36" i="7"/>
  <c r="I31" i="7"/>
  <c r="I9" i="7"/>
  <c r="I11" i="7"/>
  <c r="I12" i="7"/>
  <c r="I13" i="7"/>
  <c r="I14" i="7"/>
  <c r="I15" i="7"/>
  <c r="I16" i="7"/>
  <c r="I17" i="7"/>
  <c r="I18" i="7"/>
  <c r="I19" i="7"/>
  <c r="I20" i="7"/>
  <c r="I21" i="7"/>
  <c r="I22" i="7"/>
  <c r="I10" i="7"/>
  <c r="H11" i="7"/>
  <c r="H12" i="7"/>
  <c r="H13" i="7"/>
  <c r="H14" i="7"/>
  <c r="H15" i="7"/>
  <c r="H16" i="7"/>
  <c r="H17" i="7"/>
  <c r="H18" i="7"/>
  <c r="H19" i="7"/>
  <c r="H20" i="7"/>
  <c r="H21" i="7"/>
  <c r="H22" i="7"/>
  <c r="H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10" i="7"/>
  <c r="E7" i="7"/>
  <c r="F7" i="7"/>
  <c r="G7" i="7"/>
  <c r="D7" i="7"/>
  <c r="E6" i="7"/>
  <c r="F6" i="7"/>
  <c r="G6" i="7"/>
  <c r="D6" i="7"/>
  <c r="D37" i="4"/>
  <c r="F36" i="4"/>
  <c r="G36" i="4"/>
  <c r="D36" i="4"/>
  <c r="F34" i="4"/>
  <c r="F35" i="4" s="1"/>
  <c r="I35" i="4" s="1"/>
  <c r="F33" i="4"/>
  <c r="F31" i="4"/>
  <c r="O20" i="4"/>
  <c r="N20" i="4"/>
  <c r="M20" i="4"/>
  <c r="N7" i="4" s="1"/>
  <c r="O7" i="4" s="1"/>
  <c r="L7" i="4"/>
  <c r="M7" i="4"/>
  <c r="M8" i="4"/>
  <c r="L9" i="4"/>
  <c r="M9" i="4"/>
  <c r="M10" i="4"/>
  <c r="L11" i="4"/>
  <c r="M11" i="4"/>
  <c r="M12" i="4"/>
  <c r="L13" i="4"/>
  <c r="M13" i="4"/>
  <c r="M14" i="4"/>
  <c r="L15" i="4"/>
  <c r="M15" i="4" s="1"/>
  <c r="M16" i="4"/>
  <c r="L17" i="4"/>
  <c r="M17" i="4"/>
  <c r="K8" i="4"/>
  <c r="K9" i="4"/>
  <c r="K10" i="4"/>
  <c r="K11" i="4"/>
  <c r="K12" i="4"/>
  <c r="K13" i="4"/>
  <c r="K14" i="4"/>
  <c r="K15" i="4"/>
  <c r="K16" i="4"/>
  <c r="K17" i="4"/>
  <c r="K7" i="4"/>
  <c r="J8" i="4"/>
  <c r="J9" i="4"/>
  <c r="J10" i="4"/>
  <c r="J11" i="4"/>
  <c r="J12" i="4"/>
  <c r="J13" i="4"/>
  <c r="J14" i="4"/>
  <c r="J15" i="4"/>
  <c r="J16" i="4"/>
  <c r="J17" i="4"/>
  <c r="J7" i="4"/>
  <c r="I17" i="4"/>
  <c r="I8" i="4"/>
  <c r="I9" i="4"/>
  <c r="I10" i="4"/>
  <c r="I11" i="4"/>
  <c r="I12" i="4"/>
  <c r="I13" i="4"/>
  <c r="I14" i="4"/>
  <c r="I15" i="4"/>
  <c r="I7" i="4"/>
  <c r="G34" i="4"/>
  <c r="G20" i="4"/>
  <c r="D34" i="4"/>
  <c r="G31" i="4"/>
  <c r="D31" i="4"/>
  <c r="S20" i="4"/>
  <c r="Q20" i="4"/>
  <c r="E20" i="4"/>
  <c r="D20" i="4"/>
  <c r="I16" i="4"/>
  <c r="H17" i="4"/>
  <c r="H15" i="4"/>
  <c r="H13" i="4"/>
  <c r="H11" i="4"/>
  <c r="H9" i="4"/>
  <c r="H7" i="4"/>
  <c r="G17" i="4"/>
  <c r="E17" i="4"/>
  <c r="C7" i="4"/>
  <c r="C8" i="4"/>
  <c r="C9" i="4"/>
  <c r="C10" i="4"/>
  <c r="C11" i="4"/>
  <c r="C12" i="4"/>
  <c r="C13" i="4"/>
  <c r="C14" i="4"/>
  <c r="C15" i="4"/>
  <c r="C16" i="4"/>
  <c r="C17" i="4"/>
  <c r="C18" i="4"/>
  <c r="C6" i="4"/>
  <c r="N17" i="4" l="1"/>
  <c r="O17" i="4" s="1"/>
  <c r="N11" i="4"/>
  <c r="O11" i="4" s="1"/>
  <c r="N16" i="4"/>
  <c r="O16" i="4" s="1"/>
  <c r="N15" i="4"/>
  <c r="O15" i="4" s="1"/>
  <c r="N14" i="4"/>
  <c r="O14" i="4" s="1"/>
  <c r="N8" i="4"/>
  <c r="O8" i="4" s="1"/>
  <c r="N10" i="4"/>
  <c r="O10" i="4" s="1"/>
  <c r="N9" i="4"/>
  <c r="O9" i="4" s="1"/>
  <c r="N13" i="4"/>
  <c r="O13" i="4" s="1"/>
  <c r="N12" i="4"/>
  <c r="O12" i="4" s="1"/>
  <c r="I20" i="4"/>
  <c r="K20" i="4" l="1"/>
  <c r="E34" i="4" s="1"/>
  <c r="E31" i="4"/>
  <c r="H31" i="4" s="1"/>
  <c r="J20" i="4" l="1"/>
  <c r="E33" i="4"/>
  <c r="E35" i="4"/>
  <c r="D33" i="4"/>
  <c r="G33" i="4"/>
  <c r="G35" i="4" s="1"/>
  <c r="H34" i="4" l="1"/>
  <c r="D35" i="4"/>
  <c r="H35" i="4" l="1"/>
</calcChain>
</file>

<file path=xl/sharedStrings.xml><?xml version="1.0" encoding="utf-8"?>
<sst xmlns="http://schemas.openxmlformats.org/spreadsheetml/2006/main" count="106" uniqueCount="65">
  <si>
    <t>a) 3-year zero bond</t>
  </si>
  <si>
    <t>b) 3 1/4-year coupon bond c=6% n=2</t>
  </si>
  <si>
    <t>c) 1-year coupon bond c=4% n=4</t>
  </si>
  <si>
    <t>d) 6-year floating rate bond s=0 n=2</t>
  </si>
  <si>
    <t>z1) 5-year zero bond</t>
  </si>
  <si>
    <t>z2) 2-year zero bond</t>
  </si>
  <si>
    <t>a</t>
  </si>
  <si>
    <t>b</t>
  </si>
  <si>
    <t>c</t>
  </si>
  <si>
    <t>d</t>
  </si>
  <si>
    <t>PV</t>
  </si>
  <si>
    <t>w</t>
  </si>
  <si>
    <t>investment</t>
  </si>
  <si>
    <t>N</t>
  </si>
  <si>
    <t>T</t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</si>
  <si>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(0,T)</t>
    </r>
  </si>
  <si>
    <t>Z(0,T)</t>
  </si>
  <si>
    <t>CF_a</t>
  </si>
  <si>
    <t>CF_b</t>
  </si>
  <si>
    <t>CF_c</t>
  </si>
  <si>
    <t>CF_d</t>
  </si>
  <si>
    <t>CF_portf</t>
  </si>
  <si>
    <t>PV_portf</t>
  </si>
  <si>
    <t>D_portf</t>
  </si>
  <si>
    <t>C_portf</t>
  </si>
  <si>
    <t>CF_z1</t>
  </si>
  <si>
    <t>PV_z1</t>
  </si>
  <si>
    <t>CF_z2</t>
  </si>
  <si>
    <t>PV_z2</t>
  </si>
  <si>
    <t>D</t>
  </si>
  <si>
    <t>C</t>
  </si>
  <si>
    <t>k_z(D)</t>
  </si>
  <si>
    <t>k_z(D+C)</t>
  </si>
  <si>
    <t>test</t>
  </si>
  <si>
    <t>portf</t>
  </si>
  <si>
    <t>z1</t>
  </si>
  <si>
    <t>z2</t>
  </si>
  <si>
    <t>actual</t>
  </si>
  <si>
    <t>pred ch</t>
  </si>
  <si>
    <t>pred val</t>
  </si>
  <si>
    <t>PV_hedged(D)</t>
  </si>
  <si>
    <t>PV_hedged(D+C)</t>
  </si>
  <si>
    <t>+1%</t>
  </si>
  <si>
    <t>-1%</t>
  </si>
  <si>
    <t>c=</t>
  </si>
  <si>
    <t>s=</t>
  </si>
  <si>
    <t>CF_T</t>
  </si>
  <si>
    <t>PV_T</t>
  </si>
  <si>
    <t>w_T</t>
  </si>
  <si>
    <t>D_T</t>
  </si>
  <si>
    <t>inverse floater = zero + fixed (15%) - floating</t>
  </si>
  <si>
    <t>leveraged inverse floater = 2*zero + fixed (25%) - 2*floating</t>
  </si>
  <si>
    <t xml:space="preserve">leveraged </t>
  </si>
  <si>
    <t>zero</t>
  </si>
  <si>
    <t>fixed (15%)</t>
  </si>
  <si>
    <t>fixed (25%)</t>
  </si>
  <si>
    <t>floating</t>
  </si>
  <si>
    <t>inverse floater</t>
  </si>
  <si>
    <t>disc fac</t>
  </si>
  <si>
    <t>(Conv)</t>
  </si>
  <si>
    <t>===&gt;</t>
  </si>
  <si>
    <t>1b</t>
  </si>
  <si>
    <t>1c</t>
  </si>
  <si>
    <t>(change in value of tot portf)</t>
  </si>
  <si>
    <t>V13-T9*S9/T10*S10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</si>
</sst>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1" applyNumberFormat="1" applyFont="1" applyAlignment="1">
      <alignment horizontal="right"/>
    </xf>
    <xf numFmtId="10" fontId="0" fillId="0" borderId="0" xfId="1" applyNumberFormat="1" applyFont="1" applyAlignment="1">
      <alignment horizontal="right"/>
    </xf>
    <xf numFmtId="165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165" fontId="0" fillId="0" borderId="0" xfId="0" applyNumberFormat="1" applyBorder="1"/>
    <xf numFmtId="164" fontId="0" fillId="0" borderId="0" xfId="1" applyNumberFormat="1" applyFont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165" fontId="0" fillId="0" borderId="2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Border="1"/>
    <xf numFmtId="9" fontId="0" fillId="0" borderId="4" xfId="0" applyNumberFormat="1" applyBorder="1"/>
    <xf numFmtId="0" fontId="0" fillId="0" borderId="1" xfId="0" applyBorder="1" applyAlignment="1">
      <alignment horizontal="right"/>
    </xf>
    <xf numFmtId="0" fontId="0" fillId="2" borderId="0" xfId="0" applyFill="1"/>
    <xf numFmtId="10" fontId="0" fillId="2" borderId="0" xfId="1" applyNumberFormat="1" applyFont="1" applyFill="1" applyAlignment="1">
      <alignment horizontal="right"/>
    </xf>
    <xf numFmtId="0" fontId="0" fillId="0" borderId="2" xfId="0" applyFill="1" applyBorder="1" applyAlignment="1">
      <alignment horizontal="center"/>
    </xf>
    <xf numFmtId="10" fontId="0" fillId="2" borderId="2" xfId="1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2" xfId="0" applyFont="1" applyBorder="1"/>
    <xf numFmtId="10" fontId="0" fillId="0" borderId="2" xfId="0" applyNumberFormat="1" applyBorder="1"/>
    <xf numFmtId="10" fontId="0" fillId="0" borderId="0" xfId="0" applyNumberFormat="1"/>
    <xf numFmtId="0" fontId="0" fillId="0" borderId="1" xfId="0" applyFill="1" applyBorder="1"/>
    <xf numFmtId="0" fontId="0" fillId="0" borderId="5" xfId="0" quotePrefix="1" applyBorder="1" applyAlignment="1">
      <alignment horizontal="center"/>
    </xf>
    <xf numFmtId="9" fontId="0" fillId="0" borderId="5" xfId="0" quotePrefix="1" applyNumberFormat="1" applyBorder="1" applyAlignment="1">
      <alignment horizontal="center"/>
    </xf>
    <xf numFmtId="10" fontId="0" fillId="2" borderId="0" xfId="1" applyNumberFormat="1" applyFont="1" applyFill="1" applyBorder="1" applyAlignment="1">
      <alignment horizontal="right"/>
    </xf>
    <xf numFmtId="9" fontId="0" fillId="0" borderId="0" xfId="0" applyNumberFormat="1"/>
    <xf numFmtId="1" fontId="0" fillId="0" borderId="0" xfId="0" applyNumberFormat="1"/>
    <xf numFmtId="2" fontId="0" fillId="2" borderId="0" xfId="0" applyNumberFormat="1" applyFill="1"/>
    <xf numFmtId="2" fontId="0" fillId="0" borderId="0" xfId="0" applyNumberFormat="1" applyFill="1"/>
    <xf numFmtId="0" fontId="0" fillId="0" borderId="0" xfId="0" applyFill="1" applyBorder="1" applyAlignment="1">
      <alignment horizontal="right"/>
    </xf>
    <xf numFmtId="0" fontId="0" fillId="0" borderId="0" xfId="0" applyFill="1"/>
    <xf numFmtId="0" fontId="0" fillId="0" borderId="2" xfId="0" applyFill="1" applyBorder="1"/>
    <xf numFmtId="0" fontId="0" fillId="0" borderId="0" xfId="0" applyBorder="1" applyAlignment="1">
      <alignment horizontal="right"/>
    </xf>
    <xf numFmtId="166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0" fillId="3" borderId="0" xfId="0" applyFill="1"/>
    <xf numFmtId="0" fontId="0" fillId="0" borderId="0" xfId="0" quotePrefix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21</xdr:row>
          <xdr:rowOff>28575</xdr:rowOff>
        </xdr:from>
        <xdr:to>
          <xdr:col>24</xdr:col>
          <xdr:colOff>561975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26</xdr:row>
          <xdr:rowOff>9525</xdr:rowOff>
        </xdr:from>
        <xdr:to>
          <xdr:col>26</xdr:col>
          <xdr:colOff>161925</xdr:colOff>
          <xdr:row>29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18</xdr:col>
      <xdr:colOff>0</xdr:colOff>
      <xdr:row>31</xdr:row>
      <xdr:rowOff>15240</xdr:rowOff>
    </xdr:from>
    <xdr:to>
      <xdr:col>22</xdr:col>
      <xdr:colOff>99060</xdr:colOff>
      <xdr:row>34</xdr:row>
      <xdr:rowOff>1157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 noChangeAspect="1"/>
        </xdr:cNvGrpSpPr>
      </xdr:nvGrpSpPr>
      <xdr:grpSpPr bwMode="auto">
        <a:xfrm>
          <a:off x="10477500" y="5977890"/>
          <a:ext cx="2499360" cy="624092"/>
          <a:chOff x="1440" y="821"/>
          <a:chExt cx="415" cy="92"/>
        </a:xfrm>
      </xdr:grpSpPr>
      <xdr:sp macro="" textlink="">
        <xdr:nvSpPr>
          <xdr:cNvPr id="9" name="AutoShape 6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440" y="821"/>
            <a:ext cx="415" cy="9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0" y="821"/>
            <a:ext cx="416" cy="9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114300</xdr:colOff>
      <xdr:row>31</xdr:row>
      <xdr:rowOff>15241</xdr:rowOff>
    </xdr:from>
    <xdr:to>
      <xdr:col>26</xdr:col>
      <xdr:colOff>434340</xdr:colOff>
      <xdr:row>33</xdr:row>
      <xdr:rowOff>182183</xdr:rowOff>
    </xdr:to>
    <xdr:grpSp>
      <xdr:nvGrpSpPr>
        <xdr:cNvPr id="11" name="Group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 noChangeAspect="1"/>
        </xdr:cNvGrpSpPr>
      </xdr:nvGrpSpPr>
      <xdr:grpSpPr bwMode="auto">
        <a:xfrm>
          <a:off x="13925550" y="5977891"/>
          <a:ext cx="2577465" cy="566992"/>
          <a:chOff x="1440" y="917"/>
          <a:chExt cx="415" cy="86"/>
        </a:xfrm>
      </xdr:grpSpPr>
      <xdr:sp macro="" textlink="">
        <xdr:nvSpPr>
          <xdr:cNvPr id="12" name="AutoShap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440" y="917"/>
            <a:ext cx="415" cy="8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0" y="917"/>
            <a:ext cx="416" cy="8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26</xdr:col>
      <xdr:colOff>44450</xdr:colOff>
      <xdr:row>20</xdr:row>
      <xdr:rowOff>184150</xdr:rowOff>
    </xdr:from>
    <xdr:to>
      <xdr:col>27</xdr:col>
      <xdr:colOff>482600</xdr:colOff>
      <xdr:row>23</xdr:row>
      <xdr:rowOff>177800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125" y="4041775"/>
          <a:ext cx="104775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1"/>
  <sheetViews>
    <sheetView tabSelected="1" workbookViewId="0">
      <selection activeCell="A2" sqref="A2"/>
    </sheetView>
  </sheetViews>
  <sheetFormatPr defaultColWidth="8.85546875" defaultRowHeight="15" x14ac:dyDescent="0.25"/>
  <cols>
    <col min="3" max="3" width="11.140625" bestFit="1" customWidth="1"/>
    <col min="17" max="17" width="4.28515625" customWidth="1"/>
    <col min="20" max="20" width="9.42578125" bestFit="1" customWidth="1"/>
    <col min="23" max="23" width="14" bestFit="1" customWidth="1"/>
    <col min="24" max="24" width="16.140625" bestFit="1" customWidth="1"/>
    <col min="27" max="27" width="9.140625" customWidth="1"/>
  </cols>
  <sheetData>
    <row r="1" spans="1:27" x14ac:dyDescent="0.25">
      <c r="A1" s="46" t="s">
        <v>0</v>
      </c>
      <c r="B1" s="28"/>
      <c r="C1" s="46" t="s">
        <v>1</v>
      </c>
      <c r="D1" s="28"/>
      <c r="E1" s="47"/>
      <c r="G1" s="46" t="s">
        <v>2</v>
      </c>
      <c r="H1" s="28"/>
      <c r="I1" s="28"/>
      <c r="K1" s="46" t="s">
        <v>3</v>
      </c>
      <c r="L1" s="28"/>
      <c r="O1" s="46" t="s">
        <v>4</v>
      </c>
      <c r="P1" s="28"/>
      <c r="R1" s="46" t="s">
        <v>5</v>
      </c>
      <c r="S1" s="28"/>
      <c r="T1" s="28"/>
      <c r="V1" s="28"/>
      <c r="W1" s="28"/>
      <c r="X1" s="28"/>
      <c r="Y1" s="28"/>
    </row>
    <row r="2" spans="1:27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7" x14ac:dyDescent="0.25">
      <c r="D3" t="s">
        <v>6</v>
      </c>
      <c r="E3" t="s">
        <v>7</v>
      </c>
      <c r="F3" t="s">
        <v>8</v>
      </c>
      <c r="G3" t="s">
        <v>9</v>
      </c>
    </row>
    <row r="4" spans="1:27" x14ac:dyDescent="0.25">
      <c r="C4" t="s">
        <v>10</v>
      </c>
      <c r="D4" s="39">
        <v>81.752074565952327</v>
      </c>
      <c r="E4" s="39">
        <v>99.184667739101428</v>
      </c>
      <c r="F4" s="39">
        <v>97.454754654649804</v>
      </c>
      <c r="G4" s="39">
        <v>99.999999999999986</v>
      </c>
    </row>
    <row r="5" spans="1:27" x14ac:dyDescent="0.25">
      <c r="C5" t="s">
        <v>11</v>
      </c>
      <c r="D5" s="23">
        <v>0.25</v>
      </c>
      <c r="E5" s="23">
        <v>0.25</v>
      </c>
      <c r="F5" s="23">
        <v>0.25</v>
      </c>
      <c r="G5" s="23">
        <v>0.25</v>
      </c>
    </row>
    <row r="6" spans="1:27" x14ac:dyDescent="0.25">
      <c r="C6" t="s">
        <v>12</v>
      </c>
      <c r="D6">
        <f>D5*$H$6</f>
        <v>250</v>
      </c>
      <c r="E6">
        <f t="shared" ref="E6:G6" si="0">E5*$H$6</f>
        <v>250</v>
      </c>
      <c r="F6">
        <f t="shared" si="0"/>
        <v>250</v>
      </c>
      <c r="G6">
        <f t="shared" si="0"/>
        <v>250</v>
      </c>
      <c r="H6" s="23">
        <v>1000</v>
      </c>
    </row>
    <row r="7" spans="1:27" x14ac:dyDescent="0.25">
      <c r="C7" t="s">
        <v>13</v>
      </c>
      <c r="D7" s="40">
        <f>D6/D4</f>
        <v>3.058026372141982</v>
      </c>
      <c r="E7" s="40">
        <f t="shared" ref="E7:G7" si="1">E6/E4</f>
        <v>2.5205508643493983</v>
      </c>
      <c r="F7" s="40">
        <f t="shared" si="1"/>
        <v>2.5652930006947781</v>
      </c>
      <c r="G7" s="40">
        <f t="shared" si="1"/>
        <v>2.5000000000000004</v>
      </c>
      <c r="L7" t="s">
        <v>59</v>
      </c>
      <c r="M7" t="s">
        <v>62</v>
      </c>
      <c r="W7" t="s">
        <v>62</v>
      </c>
    </row>
    <row r="8" spans="1:27" ht="18.75" thickBot="1" x14ac:dyDescent="0.4">
      <c r="A8" s="15" t="s">
        <v>14</v>
      </c>
      <c r="B8" s="18" t="s">
        <v>15</v>
      </c>
      <c r="C8" s="18" t="s">
        <v>16</v>
      </c>
      <c r="D8" s="16" t="s">
        <v>17</v>
      </c>
      <c r="E8" s="15" t="s">
        <v>18</v>
      </c>
      <c r="F8" s="15" t="s">
        <v>19</v>
      </c>
      <c r="G8" s="15" t="s">
        <v>20</v>
      </c>
      <c r="H8" s="12" t="s">
        <v>21</v>
      </c>
      <c r="I8" s="11" t="s">
        <v>22</v>
      </c>
      <c r="J8" s="25" t="s">
        <v>11</v>
      </c>
      <c r="K8" s="25" t="s">
        <v>23</v>
      </c>
      <c r="L8" s="25" t="s">
        <v>24</v>
      </c>
      <c r="M8" s="16" t="s">
        <v>25</v>
      </c>
      <c r="N8" s="25" t="s">
        <v>26</v>
      </c>
      <c r="O8" s="25" t="s">
        <v>27</v>
      </c>
      <c r="P8" s="25" t="s">
        <v>28</v>
      </c>
      <c r="S8" s="4" t="s">
        <v>10</v>
      </c>
      <c r="T8" s="4" t="s">
        <v>29</v>
      </c>
      <c r="U8" s="4" t="s">
        <v>30</v>
      </c>
      <c r="V8" s="4" t="s">
        <v>31</v>
      </c>
      <c r="W8" s="4" t="s">
        <v>32</v>
      </c>
      <c r="Y8" s="4" t="s">
        <v>33</v>
      </c>
      <c r="AA8" s="38"/>
    </row>
    <row r="9" spans="1:27" x14ac:dyDescent="0.25">
      <c r="A9" s="52">
        <v>0</v>
      </c>
      <c r="B9" s="10"/>
      <c r="C9" s="10"/>
      <c r="D9" s="22"/>
      <c r="E9" s="44"/>
      <c r="F9" s="44"/>
      <c r="G9" s="44"/>
      <c r="H9" s="22"/>
      <c r="I9" s="44">
        <f>100*G7</f>
        <v>250.00000000000006</v>
      </c>
      <c r="J9" s="41">
        <f>I9/I$31</f>
        <v>0.25000000000000006</v>
      </c>
      <c r="K9" s="41">
        <f>J9*0.5</f>
        <v>0.12500000000000003</v>
      </c>
      <c r="L9" s="41">
        <f>0.5^2*J9</f>
        <v>6.2500000000000014E-2</v>
      </c>
      <c r="M9" s="22"/>
      <c r="N9" s="41"/>
      <c r="O9" s="41"/>
      <c r="P9" s="41"/>
      <c r="R9" t="s">
        <v>34</v>
      </c>
      <c r="S9" s="41">
        <v>1000</v>
      </c>
      <c r="T9" s="41">
        <v>1.8597900000000001</v>
      </c>
      <c r="U9" s="4">
        <f>T9^2</f>
        <v>3.4588188441000001</v>
      </c>
      <c r="V9" s="4"/>
      <c r="W9" s="4"/>
      <c r="X9" s="4"/>
    </row>
    <row r="10" spans="1:27" x14ac:dyDescent="0.25">
      <c r="A10" s="53">
        <v>0.25</v>
      </c>
      <c r="B10" s="24">
        <v>6.3299999999999995E-2</v>
      </c>
      <c r="C10" s="14">
        <f>1/(1+B10/2)^(2*A10)</f>
        <v>0.98454100506076059</v>
      </c>
      <c r="D10" s="50">
        <v>0</v>
      </c>
      <c r="E10" s="51">
        <v>3</v>
      </c>
      <c r="F10" s="51">
        <v>1</v>
      </c>
      <c r="G10" s="6"/>
      <c r="H10" s="33">
        <f>SUMPRODUCT($D$7:$F$7,D10:F10)</f>
        <v>10.126945593742974</v>
      </c>
      <c r="I10">
        <f>H10*C10</f>
        <v>9.9703931930593477</v>
      </c>
      <c r="J10" s="41">
        <f t="shared" ref="J10:J29" si="2">I10/I$31</f>
        <v>9.9703931930593473E-3</v>
      </c>
      <c r="K10">
        <f>J10*A10</f>
        <v>2.4925982982648368E-3</v>
      </c>
      <c r="L10" s="41">
        <f t="shared" ref="L10:L22" si="3">0.5^2*J10</f>
        <v>2.4925982982648368E-3</v>
      </c>
      <c r="M10" s="7"/>
      <c r="N10" s="29"/>
      <c r="R10" t="s">
        <v>35</v>
      </c>
      <c r="S10">
        <f>N29</f>
        <v>73.531336257574537</v>
      </c>
      <c r="T10">
        <f>5</f>
        <v>5</v>
      </c>
      <c r="U10">
        <f>T10^2</f>
        <v>25</v>
      </c>
      <c r="V10">
        <v>-5.1090999999999998</v>
      </c>
      <c r="W10">
        <v>-1.0626903130000001</v>
      </c>
      <c r="X10">
        <f>S9/S10*(T9*U11-T1*U9)/(T10*U11-T1*U11)</f>
        <v>5.0584964034525379</v>
      </c>
    </row>
    <row r="11" spans="1:27" x14ac:dyDescent="0.25">
      <c r="A11" s="53">
        <v>0.5</v>
      </c>
      <c r="B11" s="24">
        <v>6.4899999999999999E-2</v>
      </c>
      <c r="C11" s="14">
        <f t="shared" ref="C11:C29" si="4">1/(1+B11/2)^(2*A11)</f>
        <v>0.9685699065330039</v>
      </c>
      <c r="D11" s="50">
        <v>0</v>
      </c>
      <c r="E11" s="51">
        <v>0</v>
      </c>
      <c r="F11" s="51">
        <v>1</v>
      </c>
      <c r="G11" s="6"/>
      <c r="H11" s="33">
        <f t="shared" ref="H11:H22" si="5">SUMPRODUCT($D$7:$F$7,D11:F11)</f>
        <v>2.5652930006947781</v>
      </c>
      <c r="I11">
        <f t="shared" ref="I11:I22" si="6">H11*C11</f>
        <v>2.4846656019127105</v>
      </c>
      <c r="J11" s="41">
        <f t="shared" si="2"/>
        <v>2.4846656019127103E-3</v>
      </c>
      <c r="K11">
        <f t="shared" ref="K11:K22" si="7">J11*A11</f>
        <v>1.2423328009563551E-3</v>
      </c>
      <c r="L11" s="41">
        <f t="shared" si="3"/>
        <v>6.2116640047817757E-4</v>
      </c>
      <c r="M11" s="7"/>
      <c r="N11" s="29"/>
      <c r="R11" t="s">
        <v>36</v>
      </c>
      <c r="S11">
        <v>87.346599999999995</v>
      </c>
      <c r="T11">
        <v>2</v>
      </c>
      <c r="U11">
        <v>4</v>
      </c>
      <c r="W11">
        <v>-8.4316689250000003</v>
      </c>
    </row>
    <row r="12" spans="1:27" x14ac:dyDescent="0.25">
      <c r="A12" s="53">
        <v>0.75</v>
      </c>
      <c r="B12" s="24">
        <v>6.6199999999999995E-2</v>
      </c>
      <c r="C12" s="14">
        <f t="shared" si="4"/>
        <v>0.95232778992149036</v>
      </c>
      <c r="D12" s="50">
        <v>0</v>
      </c>
      <c r="E12" s="51">
        <v>3</v>
      </c>
      <c r="F12" s="51">
        <v>1</v>
      </c>
      <c r="G12" s="6"/>
      <c r="H12" s="33">
        <f t="shared" si="5"/>
        <v>10.126945593742974</v>
      </c>
      <c r="I12">
        <f t="shared" si="6"/>
        <v>9.644171715944422</v>
      </c>
      <c r="J12" s="41">
        <f t="shared" si="2"/>
        <v>9.6441717159444218E-3</v>
      </c>
      <c r="K12">
        <f t="shared" si="7"/>
        <v>7.2331287869583163E-3</v>
      </c>
      <c r="L12" s="41">
        <f t="shared" si="3"/>
        <v>2.4110429289861054E-3</v>
      </c>
      <c r="M12" s="7"/>
      <c r="N12" s="29"/>
      <c r="V12">
        <v>-5.1090999999999998</v>
      </c>
    </row>
    <row r="13" spans="1:27" x14ac:dyDescent="0.25">
      <c r="A13" s="53">
        <v>1</v>
      </c>
      <c r="B13" s="24">
        <v>6.7100000000000007E-2</v>
      </c>
      <c r="C13" s="14">
        <f t="shared" si="4"/>
        <v>0.93613184112014403</v>
      </c>
      <c r="D13" s="50">
        <v>0</v>
      </c>
      <c r="E13" s="51">
        <v>0</v>
      </c>
      <c r="F13" s="51">
        <v>101</v>
      </c>
      <c r="G13" s="6"/>
      <c r="H13" s="33">
        <f t="shared" si="5"/>
        <v>259.09459307017261</v>
      </c>
      <c r="I13">
        <f t="shared" si="6"/>
        <v>242.54669843505519</v>
      </c>
      <c r="J13" s="41">
        <f t="shared" si="2"/>
        <v>0.24254669843505519</v>
      </c>
      <c r="K13">
        <f t="shared" si="7"/>
        <v>0.24254669843505519</v>
      </c>
      <c r="L13" s="41">
        <f t="shared" si="3"/>
        <v>6.0636674608763798E-2</v>
      </c>
      <c r="M13" s="7"/>
      <c r="N13" s="29"/>
      <c r="V13" t="s">
        <v>64</v>
      </c>
    </row>
    <row r="14" spans="1:27" x14ac:dyDescent="0.25">
      <c r="A14" s="53">
        <v>1.25</v>
      </c>
      <c r="B14" s="24">
        <v>6.7900000000000002E-2</v>
      </c>
      <c r="C14" s="14">
        <f t="shared" si="4"/>
        <v>0.91992231976302186</v>
      </c>
      <c r="D14" s="50">
        <v>0</v>
      </c>
      <c r="E14" s="51">
        <v>3</v>
      </c>
      <c r="F14" s="6"/>
      <c r="G14" s="6"/>
      <c r="H14" s="33">
        <f t="shared" si="5"/>
        <v>7.561652593048195</v>
      </c>
      <c r="I14">
        <f t="shared" si="6"/>
        <v>6.9561329946389652</v>
      </c>
      <c r="J14" s="41">
        <f t="shared" si="2"/>
        <v>6.9561329946389652E-3</v>
      </c>
      <c r="K14">
        <f t="shared" si="7"/>
        <v>8.6951662432987065E-3</v>
      </c>
      <c r="L14" s="41">
        <f t="shared" si="3"/>
        <v>1.7390332486597413E-3</v>
      </c>
      <c r="M14" s="7"/>
      <c r="N14" s="29"/>
      <c r="S14" s="49" t="s">
        <v>22</v>
      </c>
      <c r="T14" s="49"/>
      <c r="X14" t="s">
        <v>61</v>
      </c>
      <c r="Y14" t="s">
        <v>62</v>
      </c>
    </row>
    <row r="15" spans="1:27" x14ac:dyDescent="0.25">
      <c r="A15" s="53">
        <v>1.5</v>
      </c>
      <c r="B15" s="24">
        <v>6.8400000000000002E-2</v>
      </c>
      <c r="C15" s="14">
        <f t="shared" si="4"/>
        <v>0.90403740436141711</v>
      </c>
      <c r="D15" s="50">
        <v>0</v>
      </c>
      <c r="E15" s="51">
        <v>0</v>
      </c>
      <c r="F15" s="6"/>
      <c r="G15" s="6"/>
      <c r="H15" s="33">
        <f t="shared" si="5"/>
        <v>0</v>
      </c>
      <c r="I15">
        <f t="shared" si="6"/>
        <v>0</v>
      </c>
      <c r="J15" s="41">
        <f t="shared" si="2"/>
        <v>0</v>
      </c>
      <c r="K15">
        <f t="shared" si="7"/>
        <v>0</v>
      </c>
      <c r="L15" s="41">
        <f t="shared" si="3"/>
        <v>0</v>
      </c>
      <c r="M15" s="7"/>
      <c r="N15" s="29"/>
      <c r="S15" t="s">
        <v>37</v>
      </c>
      <c r="T15" t="s">
        <v>38</v>
      </c>
      <c r="U15" t="s">
        <v>39</v>
      </c>
      <c r="V15" t="s">
        <v>26</v>
      </c>
      <c r="W15" t="s">
        <v>28</v>
      </c>
      <c r="X15" t="s">
        <v>40</v>
      </c>
      <c r="Y15" t="s">
        <v>41</v>
      </c>
    </row>
    <row r="16" spans="1:27" x14ac:dyDescent="0.25">
      <c r="A16" s="53">
        <v>1.75</v>
      </c>
      <c r="B16" s="24">
        <v>6.8699999999999997E-2</v>
      </c>
      <c r="C16" s="14">
        <f t="shared" si="4"/>
        <v>0.88851279094980307</v>
      </c>
      <c r="D16" s="50">
        <v>0</v>
      </c>
      <c r="E16" s="51">
        <v>3</v>
      </c>
      <c r="F16" s="6"/>
      <c r="G16" s="6"/>
      <c r="H16" s="33">
        <f t="shared" si="5"/>
        <v>7.561652593048195</v>
      </c>
      <c r="I16">
        <f t="shared" si="6"/>
        <v>6.7186250496420676</v>
      </c>
      <c r="J16" s="41">
        <f t="shared" si="2"/>
        <v>6.718625049642068E-3</v>
      </c>
      <c r="K16">
        <f t="shared" si="7"/>
        <v>1.1757593836873619E-2</v>
      </c>
      <c r="L16" s="41">
        <f t="shared" si="3"/>
        <v>1.679656262410517E-3</v>
      </c>
      <c r="M16" s="7"/>
      <c r="N16" s="29"/>
      <c r="R16">
        <v>0</v>
      </c>
      <c r="S16">
        <f>H6</f>
        <v>1000</v>
      </c>
      <c r="V16">
        <f>S16+V10*S10</f>
        <v>624.32104992642599</v>
      </c>
      <c r="X16">
        <v>628.04162510000003</v>
      </c>
      <c r="Y16">
        <v>186.155</v>
      </c>
    </row>
    <row r="17" spans="1:26" x14ac:dyDescent="0.25">
      <c r="A17" s="53">
        <v>2</v>
      </c>
      <c r="B17" s="24">
        <v>6.88E-2</v>
      </c>
      <c r="C17" s="14">
        <f t="shared" si="4"/>
        <v>0.87346589530028107</v>
      </c>
      <c r="D17" s="50">
        <v>0</v>
      </c>
      <c r="E17" s="51">
        <v>0</v>
      </c>
      <c r="F17" s="6"/>
      <c r="G17" s="6"/>
      <c r="H17" s="33">
        <f t="shared" si="5"/>
        <v>0</v>
      </c>
      <c r="I17">
        <f t="shared" si="6"/>
        <v>0</v>
      </c>
      <c r="J17" s="41">
        <f t="shared" si="2"/>
        <v>0</v>
      </c>
      <c r="K17">
        <f t="shared" si="7"/>
        <v>0</v>
      </c>
      <c r="L17" s="41">
        <f t="shared" si="3"/>
        <v>0</v>
      </c>
      <c r="M17" s="7"/>
      <c r="N17" s="29"/>
      <c r="O17">
        <v>100</v>
      </c>
      <c r="P17">
        <v>87.346599999999995</v>
      </c>
      <c r="R17" s="37">
        <v>0.01</v>
      </c>
      <c r="S17">
        <f>$E$57</f>
        <v>998.79512265651351</v>
      </c>
      <c r="T17">
        <f>-$K$31*$I$31*$B$33+0.5*$L$31*$I$31*$B$33^2</f>
        <v>-18.585418746593433</v>
      </c>
      <c r="U17">
        <v>981.64599999999996</v>
      </c>
      <c r="X17">
        <v>627.86783290000005</v>
      </c>
      <c r="Y17">
        <v>186.154</v>
      </c>
    </row>
    <row r="18" spans="1:26" x14ac:dyDescent="0.25">
      <c r="A18" s="53">
        <v>2.25</v>
      </c>
      <c r="B18" s="24">
        <v>6.8900000000000003E-2</v>
      </c>
      <c r="C18" s="14">
        <f t="shared" si="4"/>
        <v>0.85863232080862129</v>
      </c>
      <c r="D18" s="50">
        <v>0</v>
      </c>
      <c r="E18" s="51">
        <v>3</v>
      </c>
      <c r="F18" s="6"/>
      <c r="G18" s="6"/>
      <c r="H18" s="33">
        <f t="shared" si="5"/>
        <v>7.561652593048195</v>
      </c>
      <c r="I18">
        <f t="shared" si="6"/>
        <v>6.4926793151175008</v>
      </c>
      <c r="J18" s="41">
        <f t="shared" si="2"/>
        <v>6.492679315117501E-3</v>
      </c>
      <c r="K18">
        <f t="shared" si="7"/>
        <v>1.4608528459014378E-2</v>
      </c>
      <c r="L18" s="41">
        <f t="shared" si="3"/>
        <v>1.6231698287793753E-3</v>
      </c>
      <c r="M18" s="7"/>
      <c r="N18" s="29"/>
      <c r="R18" s="37">
        <v>-0.01</v>
      </c>
      <c r="S18">
        <f>$N$57</f>
        <v>1001.2166042143169</v>
      </c>
      <c r="T18">
        <f>-$K$31*$I$31*$K$33+0.5*$L$31*$I$31*$K$33^2</f>
        <v>18.610418746593432</v>
      </c>
      <c r="U18">
        <v>1018.84</v>
      </c>
      <c r="X18">
        <v>627.79863669999997</v>
      </c>
      <c r="Y18">
        <v>186.15600000000001</v>
      </c>
    </row>
    <row r="19" spans="1:26" x14ac:dyDescent="0.25">
      <c r="A19" s="53">
        <v>2.5</v>
      </c>
      <c r="B19" s="24">
        <v>6.88E-2</v>
      </c>
      <c r="C19" s="14">
        <f t="shared" si="4"/>
        <v>0.8444179188904497</v>
      </c>
      <c r="D19" s="50">
        <v>0</v>
      </c>
      <c r="E19" s="51">
        <v>0</v>
      </c>
      <c r="F19" s="6"/>
      <c r="G19" s="6"/>
      <c r="H19" s="33">
        <f t="shared" si="5"/>
        <v>0</v>
      </c>
      <c r="I19">
        <f t="shared" si="6"/>
        <v>0</v>
      </c>
      <c r="J19" s="41">
        <f t="shared" si="2"/>
        <v>0</v>
      </c>
      <c r="K19">
        <f t="shared" si="7"/>
        <v>0</v>
      </c>
      <c r="L19" s="41">
        <f t="shared" si="3"/>
        <v>0</v>
      </c>
      <c r="M19" s="7"/>
      <c r="N19" s="29"/>
    </row>
    <row r="20" spans="1:26" x14ac:dyDescent="0.25">
      <c r="A20" s="53">
        <v>2.75</v>
      </c>
      <c r="B20" s="24">
        <v>6.8599999999999994E-2</v>
      </c>
      <c r="C20" s="14">
        <f t="shared" si="4"/>
        <v>0.83069981594032294</v>
      </c>
      <c r="D20" s="50">
        <v>0</v>
      </c>
      <c r="E20" s="51">
        <v>3</v>
      </c>
      <c r="F20" s="6"/>
      <c r="G20" s="6"/>
      <c r="H20" s="33">
        <f t="shared" si="5"/>
        <v>7.561652593048195</v>
      </c>
      <c r="I20">
        <f t="shared" si="6"/>
        <v>6.2814634172498014</v>
      </c>
      <c r="J20" s="41">
        <f t="shared" si="2"/>
        <v>6.2814634172498017E-3</v>
      </c>
      <c r="K20">
        <f t="shared" si="7"/>
        <v>1.7274024397436954E-2</v>
      </c>
      <c r="L20" s="41">
        <f t="shared" si="3"/>
        <v>1.5703658543124504E-3</v>
      </c>
      <c r="M20" s="7"/>
      <c r="N20" s="29"/>
    </row>
    <row r="21" spans="1:26" x14ac:dyDescent="0.25">
      <c r="A21" s="53">
        <v>3</v>
      </c>
      <c r="B21" s="24">
        <v>6.83E-2</v>
      </c>
      <c r="C21" s="14">
        <f t="shared" si="4"/>
        <v>0.81752074565952326</v>
      </c>
      <c r="D21" s="50">
        <v>100</v>
      </c>
      <c r="E21" s="51">
        <v>0</v>
      </c>
      <c r="F21" s="6"/>
      <c r="G21" s="6"/>
      <c r="H21" s="33">
        <f t="shared" si="5"/>
        <v>305.80263721419823</v>
      </c>
      <c r="I21">
        <f t="shared" si="6"/>
        <v>250</v>
      </c>
      <c r="J21" s="41">
        <f t="shared" si="2"/>
        <v>0.25</v>
      </c>
      <c r="K21">
        <f t="shared" si="7"/>
        <v>0.75</v>
      </c>
      <c r="L21" s="41">
        <f t="shared" si="3"/>
        <v>6.25E-2</v>
      </c>
      <c r="M21" s="7"/>
      <c r="N21" s="29"/>
      <c r="S21" t="s">
        <v>63</v>
      </c>
    </row>
    <row r="22" spans="1:26" x14ac:dyDescent="0.25">
      <c r="A22" s="51">
        <v>3.25</v>
      </c>
      <c r="B22" s="36">
        <v>6.8000000000000005E-2</v>
      </c>
      <c r="C22" s="14">
        <f t="shared" si="4"/>
        <v>0.80466756904630443</v>
      </c>
      <c r="D22" s="7"/>
      <c r="E22" s="51">
        <v>103</v>
      </c>
      <c r="F22" s="6"/>
      <c r="G22" s="6"/>
      <c r="H22" s="33">
        <f t="shared" si="5"/>
        <v>259.61673902798805</v>
      </c>
      <c r="I22">
        <f t="shared" si="6"/>
        <v>208.90517027737997</v>
      </c>
      <c r="J22" s="41">
        <f t="shared" si="2"/>
        <v>0.20890517027737995</v>
      </c>
      <c r="K22">
        <f t="shared" si="7"/>
        <v>0.6789418034014848</v>
      </c>
      <c r="L22" s="41">
        <f t="shared" si="3"/>
        <v>5.2226292569344988E-2</v>
      </c>
      <c r="M22" s="7"/>
      <c r="N22" s="29"/>
    </row>
    <row r="23" spans="1:26" x14ac:dyDescent="0.25">
      <c r="A23" s="51">
        <v>3.5</v>
      </c>
      <c r="B23" s="36">
        <v>6.7599999999999993E-2</v>
      </c>
      <c r="C23" s="14">
        <f t="shared" si="4"/>
        <v>0.7923997049888436</v>
      </c>
      <c r="D23" s="7"/>
      <c r="E23" s="6"/>
      <c r="F23" s="6"/>
      <c r="G23" s="6"/>
      <c r="H23" s="7"/>
      <c r="I23" s="6"/>
      <c r="J23" s="41"/>
      <c r="K23" s="6"/>
      <c r="L23" s="6"/>
      <c r="M23" s="7"/>
      <c r="N23" s="29"/>
      <c r="Z23" s="54" t="s">
        <v>60</v>
      </c>
    </row>
    <row r="24" spans="1:26" x14ac:dyDescent="0.25">
      <c r="A24" s="53">
        <v>3.75</v>
      </c>
      <c r="B24" s="24">
        <v>6.7199999999999996E-2</v>
      </c>
      <c r="C24" s="14">
        <f t="shared" si="4"/>
        <v>0.78047005566178551</v>
      </c>
      <c r="D24" s="7"/>
      <c r="E24" s="6"/>
      <c r="F24" s="6"/>
      <c r="H24" s="7"/>
      <c r="J24" s="41"/>
      <c r="M24" s="7"/>
      <c r="N24" s="29"/>
    </row>
    <row r="25" spans="1:26" x14ac:dyDescent="0.25">
      <c r="A25" s="53">
        <v>4</v>
      </c>
      <c r="B25" s="24">
        <v>6.6699999999999995E-2</v>
      </c>
      <c r="C25" s="14">
        <f t="shared" si="4"/>
        <v>0.7691666570304081</v>
      </c>
      <c r="D25" s="7"/>
      <c r="H25" s="7"/>
      <c r="J25" s="41"/>
      <c r="M25" s="7"/>
      <c r="N25" s="29"/>
    </row>
    <row r="26" spans="1:26" x14ac:dyDescent="0.25">
      <c r="A26" s="53">
        <v>4.25</v>
      </c>
      <c r="B26" s="24">
        <v>6.6199999999999995E-2</v>
      </c>
      <c r="C26" s="14">
        <f t="shared" si="4"/>
        <v>0.75821073124233285</v>
      </c>
      <c r="D26" s="7"/>
      <c r="H26" s="7"/>
      <c r="J26" s="41"/>
      <c r="M26" s="7"/>
      <c r="N26" s="29"/>
    </row>
    <row r="27" spans="1:26" x14ac:dyDescent="0.25">
      <c r="A27" s="53">
        <v>4.5</v>
      </c>
      <c r="B27" s="24">
        <v>6.5699999999999995E-2</v>
      </c>
      <c r="C27" s="14">
        <f t="shared" si="4"/>
        <v>0.74759212051814927</v>
      </c>
      <c r="D27" s="7"/>
      <c r="H27" s="7"/>
      <c r="J27" s="41"/>
      <c r="M27" s="7"/>
      <c r="N27" s="29"/>
    </row>
    <row r="28" spans="1:26" x14ac:dyDescent="0.25">
      <c r="A28" s="53">
        <v>4.75</v>
      </c>
      <c r="B28" s="24">
        <v>6.5100000000000005E-2</v>
      </c>
      <c r="C28" s="14">
        <f t="shared" si="4"/>
        <v>0.73764029902745021</v>
      </c>
      <c r="D28" s="7"/>
      <c r="H28" s="7"/>
      <c r="J28" s="41"/>
      <c r="M28" s="7"/>
      <c r="N28" s="29"/>
    </row>
    <row r="29" spans="1:26" x14ac:dyDescent="0.25">
      <c r="A29" s="51">
        <v>5</v>
      </c>
      <c r="B29" s="36">
        <v>6.4500000000000002E-2</v>
      </c>
      <c r="C29" s="14">
        <f t="shared" si="4"/>
        <v>0.72803303225321325</v>
      </c>
      <c r="D29" s="7"/>
      <c r="H29" s="7"/>
      <c r="J29" s="41"/>
      <c r="M29" s="7">
        <v>101</v>
      </c>
      <c r="N29" s="29">
        <f>M29*C29</f>
        <v>73.531336257574537</v>
      </c>
    </row>
    <row r="30" spans="1:26" s="5" customFormat="1" ht="15.75" thickBot="1" x14ac:dyDescent="0.3">
      <c r="A30" s="43"/>
      <c r="B30" s="26"/>
      <c r="C30" s="13"/>
      <c r="D30" s="12"/>
      <c r="E30" s="11"/>
      <c r="F30" s="11"/>
      <c r="G30" s="11"/>
      <c r="H30" s="12"/>
      <c r="I30" s="11"/>
      <c r="J30" s="11"/>
      <c r="K30" s="11"/>
      <c r="L30" s="11"/>
      <c r="M30" s="12"/>
      <c r="N30" s="30">
        <v>72.803299999999993</v>
      </c>
      <c r="O30" s="11"/>
      <c r="P30" s="11"/>
      <c r="Q30"/>
      <c r="R30"/>
      <c r="S30"/>
      <c r="T30"/>
      <c r="U30"/>
      <c r="V30"/>
      <c r="W30"/>
      <c r="X30"/>
      <c r="Y30"/>
    </row>
    <row r="31" spans="1:26" x14ac:dyDescent="0.25">
      <c r="I31" s="6">
        <f>SUM(I9:I30)</f>
        <v>1000</v>
      </c>
      <c r="J31" s="6">
        <f>SUM(J9:J30)</f>
        <v>1</v>
      </c>
      <c r="K31" s="6">
        <f>SUM(K9:K30)</f>
        <v>1.8597918746593431</v>
      </c>
      <c r="L31" s="6">
        <f>SUM(L9:L30)</f>
        <v>0.25</v>
      </c>
      <c r="N31" s="29"/>
      <c r="P31" s="29"/>
      <c r="Q31" s="48"/>
      <c r="Y31" s="48"/>
    </row>
    <row r="32" spans="1:26" ht="15.75" thickBot="1" x14ac:dyDescent="0.3">
      <c r="R32" s="48"/>
      <c r="S32" s="48"/>
      <c r="T32" s="48"/>
      <c r="U32" s="48"/>
      <c r="V32" s="48"/>
      <c r="W32" s="48"/>
      <c r="X32" s="48"/>
    </row>
    <row r="33" spans="1:16" ht="15.75" thickBot="1" x14ac:dyDescent="0.3">
      <c r="A33" s="48"/>
      <c r="B33" s="35" t="s">
        <v>42</v>
      </c>
      <c r="C33" s="48"/>
      <c r="D33" s="48"/>
      <c r="E33" s="48"/>
      <c r="F33" s="48"/>
      <c r="G33" s="48"/>
      <c r="H33" s="48"/>
      <c r="I33" s="48"/>
      <c r="J33" s="48"/>
      <c r="K33" s="34" t="s">
        <v>43</v>
      </c>
      <c r="L33" s="48"/>
      <c r="M33" s="48"/>
      <c r="N33" s="48"/>
      <c r="O33" s="48"/>
      <c r="P33" s="48"/>
    </row>
    <row r="34" spans="1:16" ht="18.75" thickBot="1" x14ac:dyDescent="0.4">
      <c r="A34" s="15" t="s">
        <v>14</v>
      </c>
      <c r="B34" s="18" t="s">
        <v>15</v>
      </c>
      <c r="C34" s="18"/>
      <c r="D34" s="12" t="s">
        <v>21</v>
      </c>
      <c r="E34" s="11" t="s">
        <v>22</v>
      </c>
      <c r="F34" s="25" t="s">
        <v>26</v>
      </c>
      <c r="G34" s="11" t="s">
        <v>28</v>
      </c>
      <c r="H34" s="6"/>
      <c r="I34" s="4"/>
      <c r="J34" s="15" t="s">
        <v>14</v>
      </c>
      <c r="K34" s="18" t="s">
        <v>15</v>
      </c>
      <c r="L34" s="18"/>
      <c r="M34" s="12" t="s">
        <v>21</v>
      </c>
      <c r="N34" s="11" t="s">
        <v>22</v>
      </c>
      <c r="O34" s="25" t="s">
        <v>26</v>
      </c>
      <c r="P34" s="11" t="s">
        <v>28</v>
      </c>
    </row>
    <row r="35" spans="1:16" x14ac:dyDescent="0.25">
      <c r="A35" s="52">
        <v>0</v>
      </c>
      <c r="B35" s="10"/>
      <c r="C35" s="10"/>
      <c r="D35" s="22"/>
      <c r="E35" s="44">
        <f>C37*G6*(1+B11/2)</f>
        <v>248.7951226565136</v>
      </c>
      <c r="F35" s="41"/>
      <c r="G35" s="44"/>
      <c r="H35" s="44"/>
      <c r="I35" s="41"/>
      <c r="J35" s="44">
        <v>0</v>
      </c>
      <c r="K35" s="10"/>
      <c r="L35" s="10"/>
      <c r="M35" s="22"/>
      <c r="N35" s="44">
        <f>L37*$G$6*(1+B11/2)</f>
        <v>251.21660421431704</v>
      </c>
      <c r="O35" s="41"/>
      <c r="P35" s="44"/>
    </row>
    <row r="36" spans="1:16" x14ac:dyDescent="0.25">
      <c r="A36" s="53">
        <v>0.25</v>
      </c>
      <c r="B36" s="32">
        <f>B10+1%</f>
        <v>7.329999999999999E-2</v>
      </c>
      <c r="C36" s="14">
        <f>1/(1+B36/2)^(2*A36)</f>
        <v>0.98216380194662134</v>
      </c>
      <c r="D36" s="33">
        <f>H10</f>
        <v>10.126945593742974</v>
      </c>
      <c r="E36">
        <f>I10</f>
        <v>9.9703931930593477</v>
      </c>
      <c r="F36" s="29"/>
      <c r="G36" s="6"/>
      <c r="H36" s="6"/>
      <c r="I36" s="6"/>
      <c r="J36" s="42">
        <v>0.25</v>
      </c>
      <c r="K36" s="32">
        <f>B10-1%</f>
        <v>5.3299999999999993E-2</v>
      </c>
      <c r="L36" s="14">
        <f>1/(1+K36/2)^(2*J36)</f>
        <v>0.98693555331269545</v>
      </c>
      <c r="M36" s="33">
        <f>H10</f>
        <v>10.126945593742974</v>
      </c>
      <c r="N36">
        <f>I10</f>
        <v>9.9703931930593477</v>
      </c>
      <c r="O36" s="29"/>
      <c r="P36" s="6"/>
    </row>
    <row r="37" spans="1:16" x14ac:dyDescent="0.25">
      <c r="A37" s="53">
        <v>0.5</v>
      </c>
      <c r="B37" s="32">
        <f t="shared" ref="B37:B55" si="8">B11+1%</f>
        <v>7.4899999999999994E-2</v>
      </c>
      <c r="C37" s="14">
        <f t="shared" ref="C37:C55" si="9">1/(1+B37/2)^(2*A37)</f>
        <v>0.96390187478914646</v>
      </c>
      <c r="D37" s="33">
        <f t="shared" ref="D37:D55" si="10">H11</f>
        <v>2.5652930006947781</v>
      </c>
      <c r="E37">
        <f t="shared" ref="E37:E55" si="11">I11</f>
        <v>2.4846656019127105</v>
      </c>
      <c r="F37" s="29"/>
      <c r="G37" s="6"/>
      <c r="H37" s="6"/>
      <c r="I37" s="6"/>
      <c r="J37" s="42">
        <v>0.5</v>
      </c>
      <c r="K37" s="32">
        <f t="shared" ref="K37:K55" si="12">B11-1%</f>
        <v>5.4899999999999997E-2</v>
      </c>
      <c r="L37" s="14">
        <f t="shared" ref="L37:L55" si="13">1/(1+K37/2)^(2*J37)</f>
        <v>0.97328337145359878</v>
      </c>
      <c r="M37" s="33">
        <f t="shared" ref="M37:M55" si="14">H11</f>
        <v>2.5652930006947781</v>
      </c>
      <c r="N37">
        <f t="shared" ref="N37:N55" si="15">I11</f>
        <v>2.4846656019127105</v>
      </c>
      <c r="O37" s="29"/>
      <c r="P37" s="6"/>
    </row>
    <row r="38" spans="1:16" x14ac:dyDescent="0.25">
      <c r="A38" s="53">
        <v>0.75</v>
      </c>
      <c r="B38" s="32">
        <f t="shared" si="8"/>
        <v>7.619999999999999E-2</v>
      </c>
      <c r="C38" s="14">
        <f t="shared" si="9"/>
        <v>0.94545576303575452</v>
      </c>
      <c r="D38" s="33">
        <f t="shared" si="10"/>
        <v>10.126945593742974</v>
      </c>
      <c r="E38">
        <f t="shared" si="11"/>
        <v>9.644171715944422</v>
      </c>
      <c r="F38" s="29"/>
      <c r="G38" s="6"/>
      <c r="H38" s="6"/>
      <c r="I38" s="6"/>
      <c r="J38" s="42">
        <v>0.75</v>
      </c>
      <c r="K38" s="32">
        <f t="shared" si="12"/>
        <v>5.6199999999999993E-2</v>
      </c>
      <c r="L38" s="14">
        <f t="shared" si="13"/>
        <v>0.95928347073998388</v>
      </c>
      <c r="M38" s="33">
        <f t="shared" si="14"/>
        <v>10.126945593742974</v>
      </c>
      <c r="N38">
        <f t="shared" si="15"/>
        <v>9.644171715944422</v>
      </c>
      <c r="O38" s="29"/>
      <c r="P38" s="6"/>
    </row>
    <row r="39" spans="1:16" x14ac:dyDescent="0.25">
      <c r="A39" s="53">
        <v>1</v>
      </c>
      <c r="B39" s="32">
        <f t="shared" si="8"/>
        <v>7.7100000000000002E-2</v>
      </c>
      <c r="C39" s="14">
        <f t="shared" si="9"/>
        <v>0.92713970417581926</v>
      </c>
      <c r="D39" s="33">
        <f t="shared" si="10"/>
        <v>259.09459307017261</v>
      </c>
      <c r="E39">
        <f t="shared" si="11"/>
        <v>242.54669843505519</v>
      </c>
      <c r="F39" s="29"/>
      <c r="G39" s="6"/>
      <c r="H39" s="6"/>
      <c r="I39" s="6"/>
      <c r="J39" s="42">
        <v>1</v>
      </c>
      <c r="K39" s="32">
        <f t="shared" si="12"/>
        <v>5.7100000000000005E-2</v>
      </c>
      <c r="L39" s="14">
        <f t="shared" si="13"/>
        <v>0.94525543461555772</v>
      </c>
      <c r="M39" s="33">
        <f t="shared" si="14"/>
        <v>259.09459307017261</v>
      </c>
      <c r="N39">
        <f t="shared" si="15"/>
        <v>242.54669843505519</v>
      </c>
      <c r="O39" s="29"/>
      <c r="P39" s="6"/>
    </row>
    <row r="40" spans="1:16" x14ac:dyDescent="0.25">
      <c r="A40" s="53">
        <v>1.25</v>
      </c>
      <c r="B40" s="32">
        <f t="shared" si="8"/>
        <v>7.7899999999999997E-2</v>
      </c>
      <c r="C40" s="14">
        <f t="shared" si="9"/>
        <v>0.90889430343986821</v>
      </c>
      <c r="D40" s="33">
        <f t="shared" si="10"/>
        <v>7.561652593048195</v>
      </c>
      <c r="E40">
        <f t="shared" si="11"/>
        <v>6.9561329946389652</v>
      </c>
      <c r="F40" s="29"/>
      <c r="G40" s="6"/>
      <c r="H40" s="6"/>
      <c r="I40" s="6"/>
      <c r="J40" s="42">
        <v>1.25</v>
      </c>
      <c r="K40" s="32">
        <f t="shared" si="12"/>
        <v>5.79E-2</v>
      </c>
      <c r="L40" s="14">
        <f t="shared" si="13"/>
        <v>0.9311385800633265</v>
      </c>
      <c r="M40" s="33">
        <f t="shared" si="14"/>
        <v>7.561652593048195</v>
      </c>
      <c r="N40">
        <f t="shared" si="15"/>
        <v>6.9561329946389652</v>
      </c>
      <c r="O40" s="29"/>
      <c r="P40" s="6"/>
    </row>
    <row r="41" spans="1:16" x14ac:dyDescent="0.25">
      <c r="A41" s="53">
        <v>1.5</v>
      </c>
      <c r="B41" s="32">
        <f t="shared" si="8"/>
        <v>7.8399999999999997E-2</v>
      </c>
      <c r="C41" s="14">
        <f t="shared" si="9"/>
        <v>0.89105104898056076</v>
      </c>
      <c r="D41" s="33">
        <f t="shared" si="10"/>
        <v>0</v>
      </c>
      <c r="E41">
        <f t="shared" si="11"/>
        <v>0</v>
      </c>
      <c r="F41" s="29"/>
      <c r="G41" s="6"/>
      <c r="H41" s="6"/>
      <c r="I41" s="6"/>
      <c r="J41" s="42">
        <v>1.5</v>
      </c>
      <c r="K41" s="32">
        <f t="shared" si="12"/>
        <v>5.8400000000000001E-2</v>
      </c>
      <c r="L41" s="14">
        <f t="shared" si="13"/>
        <v>0.91727734497880997</v>
      </c>
      <c r="M41" s="33">
        <f t="shared" si="14"/>
        <v>0</v>
      </c>
      <c r="N41">
        <f t="shared" si="15"/>
        <v>0</v>
      </c>
      <c r="O41" s="29"/>
      <c r="P41" s="6"/>
    </row>
    <row r="42" spans="1:16" x14ac:dyDescent="0.25">
      <c r="A42" s="53">
        <v>1.75</v>
      </c>
      <c r="B42" s="32">
        <f t="shared" si="8"/>
        <v>7.8699999999999992E-2</v>
      </c>
      <c r="C42" s="14">
        <f t="shared" si="9"/>
        <v>0.87364224991957684</v>
      </c>
      <c r="D42" s="33">
        <f t="shared" si="10"/>
        <v>7.561652593048195</v>
      </c>
      <c r="E42">
        <f t="shared" si="11"/>
        <v>6.7186250496420676</v>
      </c>
      <c r="F42" s="29"/>
      <c r="G42" s="6"/>
      <c r="H42" s="6"/>
      <c r="I42" s="6"/>
      <c r="J42" s="42">
        <v>1.75</v>
      </c>
      <c r="K42" s="32">
        <f t="shared" si="12"/>
        <v>5.8699999999999995E-2</v>
      </c>
      <c r="L42" s="14">
        <f t="shared" si="13"/>
        <v>0.90371035584509862</v>
      </c>
      <c r="M42" s="33">
        <f t="shared" si="14"/>
        <v>7.561652593048195</v>
      </c>
      <c r="N42">
        <f t="shared" si="15"/>
        <v>6.7186250496420676</v>
      </c>
      <c r="O42" s="29"/>
      <c r="P42" s="6"/>
    </row>
    <row r="43" spans="1:16" x14ac:dyDescent="0.25">
      <c r="A43" s="53">
        <v>2</v>
      </c>
      <c r="B43" s="32">
        <f t="shared" si="8"/>
        <v>7.8799999999999995E-2</v>
      </c>
      <c r="C43" s="14">
        <f t="shared" si="9"/>
        <v>0.8567796645044029</v>
      </c>
      <c r="D43" s="33">
        <f t="shared" si="10"/>
        <v>0</v>
      </c>
      <c r="E43">
        <f t="shared" si="11"/>
        <v>0</v>
      </c>
      <c r="F43" s="29"/>
      <c r="G43" s="6"/>
      <c r="H43" s="6"/>
      <c r="I43" s="6"/>
      <c r="J43" s="42">
        <v>2</v>
      </c>
      <c r="K43" s="32">
        <f t="shared" si="12"/>
        <v>5.8799999999999998E-2</v>
      </c>
      <c r="L43" s="14">
        <f t="shared" si="13"/>
        <v>0.89056032745767399</v>
      </c>
      <c r="M43" s="33">
        <f t="shared" si="14"/>
        <v>0</v>
      </c>
      <c r="N43">
        <f t="shared" si="15"/>
        <v>0</v>
      </c>
      <c r="O43" s="29"/>
      <c r="P43" s="6"/>
    </row>
    <row r="44" spans="1:16" x14ac:dyDescent="0.25">
      <c r="A44" s="53">
        <v>2.25</v>
      </c>
      <c r="B44" s="32">
        <f t="shared" si="8"/>
        <v>7.8899999999999998E-2</v>
      </c>
      <c r="C44" s="14">
        <f t="shared" si="9"/>
        <v>0.84020214104020863</v>
      </c>
      <c r="D44" s="33">
        <f t="shared" si="10"/>
        <v>7.561652593048195</v>
      </c>
      <c r="E44">
        <f t="shared" si="11"/>
        <v>6.4926793151175008</v>
      </c>
      <c r="F44" s="29"/>
      <c r="G44" s="6"/>
      <c r="H44" s="6"/>
      <c r="I44" s="6"/>
      <c r="J44" s="42">
        <v>2.25</v>
      </c>
      <c r="K44" s="32">
        <f t="shared" si="12"/>
        <v>5.8900000000000001E-2</v>
      </c>
      <c r="L44" s="14">
        <f t="shared" si="13"/>
        <v>0.87755902961970222</v>
      </c>
      <c r="M44" s="33">
        <f t="shared" si="14"/>
        <v>7.561652593048195</v>
      </c>
      <c r="N44">
        <f t="shared" si="15"/>
        <v>6.4926793151175008</v>
      </c>
      <c r="O44" s="29"/>
      <c r="P44" s="6"/>
    </row>
    <row r="45" spans="1:16" x14ac:dyDescent="0.25">
      <c r="A45" s="53">
        <v>2.5</v>
      </c>
      <c r="B45" s="32">
        <f t="shared" si="8"/>
        <v>7.8799999999999995E-2</v>
      </c>
      <c r="C45" s="14">
        <f t="shared" si="9"/>
        <v>0.82430215942313145</v>
      </c>
      <c r="D45" s="33">
        <f t="shared" si="10"/>
        <v>0</v>
      </c>
      <c r="E45">
        <f t="shared" si="11"/>
        <v>0</v>
      </c>
      <c r="F45" s="29"/>
      <c r="G45" s="6"/>
      <c r="H45" s="6"/>
      <c r="I45" s="6"/>
      <c r="J45" s="42">
        <v>2.5</v>
      </c>
      <c r="K45" s="32">
        <f t="shared" si="12"/>
        <v>5.8799999999999998E-2</v>
      </c>
      <c r="L45" s="14">
        <f t="shared" si="13"/>
        <v>0.86512563382326979</v>
      </c>
      <c r="M45" s="33">
        <f t="shared" si="14"/>
        <v>0</v>
      </c>
      <c r="N45">
        <f t="shared" si="15"/>
        <v>0</v>
      </c>
      <c r="O45" s="29"/>
      <c r="P45" s="6"/>
    </row>
    <row r="46" spans="1:16" x14ac:dyDescent="0.25">
      <c r="A46" s="53">
        <v>2.75</v>
      </c>
      <c r="B46" s="32">
        <f t="shared" si="8"/>
        <v>7.8599999999999989E-2</v>
      </c>
      <c r="C46" s="14">
        <f t="shared" si="9"/>
        <v>0.80895599892321324</v>
      </c>
      <c r="D46" s="33">
        <f t="shared" si="10"/>
        <v>7.561652593048195</v>
      </c>
      <c r="E46">
        <f t="shared" si="11"/>
        <v>6.2814634172498014</v>
      </c>
      <c r="F46" s="29"/>
      <c r="G46" s="6"/>
      <c r="H46" s="6"/>
      <c r="I46" s="6"/>
      <c r="J46" s="42">
        <v>2.75</v>
      </c>
      <c r="K46" s="32">
        <f t="shared" si="12"/>
        <v>5.8599999999999992E-2</v>
      </c>
      <c r="L46" s="14">
        <f t="shared" si="13"/>
        <v>0.85313773134910487</v>
      </c>
      <c r="M46" s="33">
        <f t="shared" si="14"/>
        <v>7.561652593048195</v>
      </c>
      <c r="N46">
        <f t="shared" si="15"/>
        <v>6.2814634172498014</v>
      </c>
      <c r="O46" s="29"/>
      <c r="P46" s="6"/>
    </row>
    <row r="47" spans="1:16" x14ac:dyDescent="0.25">
      <c r="A47" s="53">
        <v>3</v>
      </c>
      <c r="B47" s="32">
        <f t="shared" si="8"/>
        <v>7.8299999999999995E-2</v>
      </c>
      <c r="C47" s="14">
        <f t="shared" si="9"/>
        <v>0.79420121718177894</v>
      </c>
      <c r="D47" s="33">
        <f t="shared" si="10"/>
        <v>305.80263721419823</v>
      </c>
      <c r="E47">
        <f t="shared" si="11"/>
        <v>250</v>
      </c>
      <c r="F47" s="29"/>
      <c r="G47" s="6"/>
      <c r="H47" s="6"/>
      <c r="I47" s="6"/>
      <c r="J47" s="42">
        <v>3</v>
      </c>
      <c r="K47" s="32">
        <f t="shared" si="12"/>
        <v>5.8299999999999998E-2</v>
      </c>
      <c r="L47" s="14">
        <f t="shared" si="13"/>
        <v>0.84164302710997307</v>
      </c>
      <c r="M47" s="33">
        <f t="shared" si="14"/>
        <v>305.80263721419823</v>
      </c>
      <c r="N47">
        <f t="shared" si="15"/>
        <v>250</v>
      </c>
      <c r="O47" s="29"/>
      <c r="P47" s="6"/>
    </row>
    <row r="48" spans="1:16" x14ac:dyDescent="0.25">
      <c r="A48" s="51">
        <v>3.25</v>
      </c>
      <c r="B48" s="32">
        <f t="shared" si="8"/>
        <v>7.8E-2</v>
      </c>
      <c r="C48" s="14">
        <f t="shared" si="9"/>
        <v>0.77982820874006087</v>
      </c>
      <c r="D48" s="33">
        <f t="shared" si="10"/>
        <v>259.61673902798805</v>
      </c>
      <c r="E48">
        <f t="shared" si="11"/>
        <v>208.90517027737997</v>
      </c>
      <c r="F48" s="29"/>
      <c r="G48" s="6"/>
      <c r="H48" s="6"/>
      <c r="I48" s="6"/>
      <c r="J48" s="27">
        <v>3.25</v>
      </c>
      <c r="K48" s="32">
        <f t="shared" si="12"/>
        <v>5.8000000000000003E-2</v>
      </c>
      <c r="L48" s="14">
        <f t="shared" si="13"/>
        <v>0.83042432861264748</v>
      </c>
      <c r="M48" s="33">
        <f t="shared" si="14"/>
        <v>259.61673902798805</v>
      </c>
      <c r="N48">
        <f t="shared" si="15"/>
        <v>208.90517027737997</v>
      </c>
      <c r="O48" s="29"/>
      <c r="P48" s="6"/>
    </row>
    <row r="49" spans="1:16" x14ac:dyDescent="0.25">
      <c r="A49" s="51">
        <v>3.5</v>
      </c>
      <c r="B49" s="32">
        <f t="shared" si="8"/>
        <v>7.7599999999999988E-2</v>
      </c>
      <c r="C49" s="14">
        <f t="shared" si="9"/>
        <v>0.76608403756433252</v>
      </c>
      <c r="D49" s="33">
        <f t="shared" si="10"/>
        <v>0</v>
      </c>
      <c r="E49">
        <f t="shared" si="11"/>
        <v>0</v>
      </c>
      <c r="F49" s="29"/>
      <c r="G49" s="6"/>
      <c r="H49" s="6"/>
      <c r="I49" s="6"/>
      <c r="J49" s="27">
        <v>3.5</v>
      </c>
      <c r="K49" s="32">
        <f t="shared" si="12"/>
        <v>5.7599999999999991E-2</v>
      </c>
      <c r="L49" s="14">
        <f t="shared" si="13"/>
        <v>0.81975355915635006</v>
      </c>
      <c r="M49" s="33">
        <f t="shared" si="14"/>
        <v>0</v>
      </c>
      <c r="N49">
        <f t="shared" si="15"/>
        <v>0</v>
      </c>
      <c r="O49" s="29"/>
      <c r="P49" s="6"/>
    </row>
    <row r="50" spans="1:16" x14ac:dyDescent="0.25">
      <c r="A50" s="53">
        <v>3.75</v>
      </c>
      <c r="B50" s="32">
        <f t="shared" si="8"/>
        <v>7.7199999999999991E-2</v>
      </c>
      <c r="C50" s="14">
        <f t="shared" si="9"/>
        <v>0.75272720587801156</v>
      </c>
      <c r="D50" s="33">
        <f t="shared" si="10"/>
        <v>0</v>
      </c>
      <c r="E50">
        <f t="shared" si="11"/>
        <v>0</v>
      </c>
      <c r="F50" s="29"/>
      <c r="G50" s="6"/>
      <c r="H50" s="6"/>
      <c r="I50" s="6"/>
      <c r="J50" s="42">
        <v>3.75</v>
      </c>
      <c r="K50" s="32">
        <f t="shared" si="12"/>
        <v>5.7199999999999994E-2</v>
      </c>
      <c r="L50" s="14">
        <f t="shared" si="13"/>
        <v>0.80937744949956059</v>
      </c>
      <c r="M50" s="33">
        <f t="shared" si="14"/>
        <v>0</v>
      </c>
      <c r="N50">
        <f t="shared" si="15"/>
        <v>0</v>
      </c>
      <c r="O50" s="29"/>
      <c r="P50" s="6"/>
    </row>
    <row r="51" spans="1:16" x14ac:dyDescent="0.25">
      <c r="A51" s="53">
        <v>4</v>
      </c>
      <c r="B51" s="32">
        <f t="shared" si="8"/>
        <v>7.669999999999999E-2</v>
      </c>
      <c r="C51" s="14">
        <f t="shared" si="9"/>
        <v>0.74003091364923912</v>
      </c>
      <c r="D51" s="33">
        <f t="shared" si="10"/>
        <v>0</v>
      </c>
      <c r="E51">
        <f t="shared" si="11"/>
        <v>0</v>
      </c>
      <c r="F51" s="29"/>
      <c r="G51" s="6"/>
      <c r="H51" s="6"/>
      <c r="I51" s="6"/>
      <c r="J51" s="42">
        <v>4</v>
      </c>
      <c r="K51" s="32">
        <f t="shared" si="12"/>
        <v>5.6699999999999993E-2</v>
      </c>
      <c r="L51" s="14">
        <f t="shared" si="13"/>
        <v>0.79959925497243856</v>
      </c>
      <c r="M51" s="33">
        <f t="shared" si="14"/>
        <v>0</v>
      </c>
      <c r="N51">
        <f t="shared" si="15"/>
        <v>0</v>
      </c>
      <c r="O51" s="29"/>
      <c r="P51" s="6"/>
    </row>
    <row r="52" spans="1:16" x14ac:dyDescent="0.25">
      <c r="A52" s="53">
        <v>4.25</v>
      </c>
      <c r="B52" s="32">
        <f t="shared" si="8"/>
        <v>7.619999999999999E-2</v>
      </c>
      <c r="C52" s="14">
        <f t="shared" si="9"/>
        <v>0.7277242985153779</v>
      </c>
      <c r="D52" s="33">
        <f t="shared" si="10"/>
        <v>0</v>
      </c>
      <c r="E52">
        <f t="shared" si="11"/>
        <v>0</v>
      </c>
      <c r="F52" s="29"/>
      <c r="G52" s="6"/>
      <c r="H52" s="6"/>
      <c r="I52" s="6"/>
      <c r="J52" s="42">
        <v>4.25</v>
      </c>
      <c r="K52" s="32">
        <f t="shared" si="12"/>
        <v>5.6199999999999993E-2</v>
      </c>
      <c r="L52" s="14">
        <f t="shared" si="13"/>
        <v>0.79013162947216331</v>
      </c>
      <c r="M52" s="33">
        <f t="shared" si="14"/>
        <v>0</v>
      </c>
      <c r="N52">
        <f t="shared" si="15"/>
        <v>0</v>
      </c>
      <c r="O52" s="29"/>
      <c r="P52" s="6"/>
    </row>
    <row r="53" spans="1:16" x14ac:dyDescent="0.25">
      <c r="A53" s="53">
        <v>4.5</v>
      </c>
      <c r="B53" s="32">
        <f t="shared" si="8"/>
        <v>7.569999999999999E-2</v>
      </c>
      <c r="C53" s="14">
        <f t="shared" si="9"/>
        <v>0.71579505381981778</v>
      </c>
      <c r="D53" s="33">
        <f t="shared" si="10"/>
        <v>0</v>
      </c>
      <c r="E53">
        <f t="shared" si="11"/>
        <v>0</v>
      </c>
      <c r="F53" s="29"/>
      <c r="G53" s="6"/>
      <c r="H53" s="6"/>
      <c r="I53" s="6"/>
      <c r="J53" s="42">
        <v>4.5</v>
      </c>
      <c r="K53" s="32">
        <f t="shared" si="12"/>
        <v>5.5699999999999993E-2</v>
      </c>
      <c r="L53" s="14">
        <f t="shared" si="13"/>
        <v>0.78096637963940629</v>
      </c>
      <c r="M53" s="33">
        <f t="shared" si="14"/>
        <v>0</v>
      </c>
      <c r="N53">
        <f t="shared" si="15"/>
        <v>0</v>
      </c>
      <c r="O53" s="29"/>
      <c r="P53" s="6"/>
    </row>
    <row r="54" spans="1:16" x14ac:dyDescent="0.25">
      <c r="A54" s="53">
        <v>4.75</v>
      </c>
      <c r="B54" s="32">
        <f t="shared" si="8"/>
        <v>7.51E-2</v>
      </c>
      <c r="C54" s="14">
        <f t="shared" si="9"/>
        <v>0.70455381365608305</v>
      </c>
      <c r="D54" s="33">
        <f t="shared" si="10"/>
        <v>0</v>
      </c>
      <c r="E54">
        <f t="shared" si="11"/>
        <v>0</v>
      </c>
      <c r="F54" s="29"/>
      <c r="G54" s="6"/>
      <c r="H54" s="6"/>
      <c r="I54" s="6"/>
      <c r="J54" s="42">
        <v>4.75</v>
      </c>
      <c r="K54" s="32">
        <f t="shared" si="12"/>
        <v>5.5100000000000003E-2</v>
      </c>
      <c r="L54" s="14">
        <f t="shared" si="13"/>
        <v>0.77245261179578839</v>
      </c>
      <c r="M54" s="33">
        <f t="shared" si="14"/>
        <v>0</v>
      </c>
      <c r="N54">
        <f t="shared" si="15"/>
        <v>0</v>
      </c>
      <c r="O54" s="29"/>
      <c r="P54" s="6"/>
    </row>
    <row r="55" spans="1:16" x14ac:dyDescent="0.25">
      <c r="A55" s="53">
        <v>5</v>
      </c>
      <c r="B55" s="32">
        <f t="shared" si="8"/>
        <v>7.4499999999999997E-2</v>
      </c>
      <c r="C55" s="14">
        <f t="shared" si="9"/>
        <v>0.69369020938324699</v>
      </c>
      <c r="D55" s="33">
        <f t="shared" si="10"/>
        <v>0</v>
      </c>
      <c r="E55">
        <f t="shared" si="11"/>
        <v>0</v>
      </c>
      <c r="F55" s="29">
        <f>100*C55</f>
        <v>69.369020938324695</v>
      </c>
      <c r="G55" s="6"/>
      <c r="H55" s="6"/>
      <c r="I55" s="6"/>
      <c r="J55" s="42">
        <v>5</v>
      </c>
      <c r="K55" s="32">
        <f t="shared" si="12"/>
        <v>5.45E-2</v>
      </c>
      <c r="L55" s="14">
        <f t="shared" si="13"/>
        <v>0.76425537300007917</v>
      </c>
      <c r="M55" s="33">
        <f t="shared" si="14"/>
        <v>0</v>
      </c>
      <c r="N55">
        <f t="shared" si="15"/>
        <v>0</v>
      </c>
      <c r="O55" s="29">
        <f>100*L55</f>
        <v>76.425537300007917</v>
      </c>
      <c r="P55" s="6"/>
    </row>
    <row r="56" spans="1:16" ht="15.75" thickBot="1" x14ac:dyDescent="0.3">
      <c r="A56" s="43"/>
      <c r="B56" s="31"/>
      <c r="C56" s="13"/>
      <c r="D56" s="12"/>
      <c r="E56" s="11"/>
      <c r="F56" s="30"/>
      <c r="G56" s="11"/>
      <c r="H56" s="6"/>
      <c r="I56" s="6"/>
      <c r="J56" s="43"/>
      <c r="K56" s="31"/>
      <c r="L56" s="13"/>
      <c r="M56" s="12"/>
      <c r="N56" s="11"/>
      <c r="O56" s="30"/>
      <c r="P56" s="11"/>
    </row>
    <row r="57" spans="1:16" x14ac:dyDescent="0.25">
      <c r="E57" s="6">
        <f>SUM(E35:E56)</f>
        <v>998.79512265651351</v>
      </c>
      <c r="F57" s="29"/>
      <c r="G57" s="29"/>
      <c r="H57" s="6"/>
      <c r="I57" s="6"/>
      <c r="N57" s="27">
        <f>SUM(N35:N56)</f>
        <v>1001.2166042143169</v>
      </c>
      <c r="O57" s="29"/>
      <c r="P57" s="29"/>
    </row>
    <row r="58" spans="1:16" x14ac:dyDescent="0.25"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F60" s="28"/>
      <c r="G60" s="28"/>
      <c r="H60" s="6"/>
      <c r="I60" s="6"/>
      <c r="J60" s="4"/>
      <c r="K60" s="4"/>
      <c r="L60" s="4"/>
      <c r="M60" s="28"/>
      <c r="N60" s="4"/>
      <c r="O60" s="4"/>
      <c r="P60" s="4"/>
    </row>
    <row r="61" spans="1:16" x14ac:dyDescent="0.25">
      <c r="F61" s="27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5">
      <c r="F62" s="27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F63" s="27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F64" s="27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6:16" x14ac:dyDescent="0.25"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6:16" x14ac:dyDescent="0.25"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6:16" x14ac:dyDescent="0.25"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6:16" x14ac:dyDescent="0.25"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6:16" x14ac:dyDescent="0.25"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6:16" x14ac:dyDescent="0.25"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6:16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6:16" x14ac:dyDescent="0.2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6:16" x14ac:dyDescent="0.2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6:16" x14ac:dyDescent="0.2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6:16" x14ac:dyDescent="0.2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6:16" x14ac:dyDescent="0.2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6:16" x14ac:dyDescent="0.25"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6:16" x14ac:dyDescent="0.25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6:16" x14ac:dyDescent="0.25"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6:16" x14ac:dyDescent="0.25"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6:16" x14ac:dyDescent="0.25"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</sheetData>
  <mergeCells count="1">
    <mergeCell ref="S14:T1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>
              <from>
                <xdr:col>18</xdr:col>
                <xdr:colOff>9525</xdr:colOff>
                <xdr:row>21</xdr:row>
                <xdr:rowOff>28575</xdr:rowOff>
              </from>
              <to>
                <xdr:col>24</xdr:col>
                <xdr:colOff>561975</xdr:colOff>
                <xdr:row>24</xdr:row>
                <xdr:rowOff>0</xdr:rowOff>
              </to>
            </anchor>
          </objectPr>
        </oleObject>
      </mc:Choice>
      <mc:Fallback>
        <oleObject progId="Equation.3" shapeId="1025" r:id="rId3"/>
      </mc:Fallback>
    </mc:AlternateContent>
    <mc:AlternateContent xmlns:mc="http://schemas.openxmlformats.org/markup-compatibility/2006">
      <mc:Choice Requires="x14">
        <oleObject progId="Equation.3" shapeId="1026" r:id="rId5">
          <objectPr defaultSize="0" autoPict="0" r:id="rId6">
            <anchor moveWithCells="1">
              <from>
                <xdr:col>18</xdr:col>
                <xdr:colOff>9525</xdr:colOff>
                <xdr:row>26</xdr:row>
                <xdr:rowOff>9525</xdr:rowOff>
              </from>
              <to>
                <xdr:col>26</xdr:col>
                <xdr:colOff>161925</xdr:colOff>
                <xdr:row>29</xdr:row>
                <xdr:rowOff>0</xdr:rowOff>
              </to>
            </anchor>
          </objectPr>
        </oleObject>
      </mc:Choice>
      <mc:Fallback>
        <oleObject progId="Equation.3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37"/>
  <sheetViews>
    <sheetView topLeftCell="A2" workbookViewId="0">
      <selection activeCell="B23" sqref="B23"/>
    </sheetView>
  </sheetViews>
  <sheetFormatPr defaultColWidth="8.85546875" defaultRowHeight="15" x14ac:dyDescent="0.25"/>
  <cols>
    <col min="1" max="1" width="5" bestFit="1" customWidth="1"/>
    <col min="2" max="2" width="6.140625" style="2" bestFit="1" customWidth="1"/>
    <col min="3" max="3" width="6.42578125" style="1" bestFit="1" customWidth="1"/>
    <col min="4" max="7" width="12" bestFit="1" customWidth="1"/>
    <col min="8" max="9" width="14.140625" bestFit="1" customWidth="1"/>
    <col min="10" max="19" width="9.140625" customWidth="1"/>
    <col min="22" max="23" width="12" bestFit="1" customWidth="1"/>
    <col min="25" max="26" width="14.140625" bestFit="1" customWidth="1"/>
  </cols>
  <sheetData>
    <row r="3" spans="1:19" x14ac:dyDescent="0.25">
      <c r="C3" s="1" t="s">
        <v>58</v>
      </c>
      <c r="D3" s="7"/>
      <c r="E3" s="6"/>
      <c r="F3" s="6"/>
      <c r="G3" s="6"/>
      <c r="H3" s="22" t="s">
        <v>44</v>
      </c>
      <c r="I3" s="21">
        <v>0.15</v>
      </c>
      <c r="J3" s="6"/>
      <c r="K3" s="6"/>
      <c r="L3" s="22" t="s">
        <v>44</v>
      </c>
      <c r="M3" s="21">
        <v>0.25</v>
      </c>
      <c r="N3" s="6"/>
      <c r="O3" s="6"/>
      <c r="P3" s="22" t="s">
        <v>45</v>
      </c>
      <c r="Q3" s="21">
        <v>0</v>
      </c>
      <c r="R3" s="20"/>
      <c r="S3" s="19"/>
    </row>
    <row r="4" spans="1:19" ht="18.75" thickBot="1" x14ac:dyDescent="0.4">
      <c r="A4" s="15" t="s">
        <v>14</v>
      </c>
      <c r="B4" s="18" t="s">
        <v>15</v>
      </c>
      <c r="C4" s="17" t="s">
        <v>16</v>
      </c>
      <c r="D4" s="16" t="s">
        <v>46</v>
      </c>
      <c r="E4" s="15" t="s">
        <v>47</v>
      </c>
      <c r="F4" s="15" t="s">
        <v>48</v>
      </c>
      <c r="G4" s="15" t="s">
        <v>49</v>
      </c>
      <c r="H4" s="16" t="s">
        <v>46</v>
      </c>
      <c r="I4" s="15" t="s">
        <v>47</v>
      </c>
      <c r="J4" s="15" t="s">
        <v>48</v>
      </c>
      <c r="K4" s="15" t="s">
        <v>49</v>
      </c>
      <c r="L4" s="16" t="s">
        <v>46</v>
      </c>
      <c r="M4" s="15" t="s">
        <v>47</v>
      </c>
      <c r="N4" s="15" t="s">
        <v>48</v>
      </c>
      <c r="O4" s="15" t="s">
        <v>49</v>
      </c>
      <c r="P4" s="16" t="s">
        <v>46</v>
      </c>
      <c r="Q4" s="15" t="s">
        <v>47</v>
      </c>
      <c r="R4" s="15" t="s">
        <v>48</v>
      </c>
      <c r="S4" s="15" t="s">
        <v>49</v>
      </c>
    </row>
    <row r="5" spans="1:19" s="19" customFormat="1" x14ac:dyDescent="0.25">
      <c r="A5" s="44">
        <v>0</v>
      </c>
      <c r="B5" s="10"/>
      <c r="C5" s="9"/>
      <c r="D5" s="22"/>
      <c r="E5" s="44"/>
      <c r="F5" s="44"/>
      <c r="G5" s="44"/>
      <c r="H5" s="22"/>
      <c r="I5" s="44"/>
      <c r="J5" s="44"/>
      <c r="K5" s="44"/>
      <c r="L5" s="22"/>
      <c r="M5" s="44"/>
      <c r="N5" s="44"/>
      <c r="O5" s="44"/>
      <c r="P5" s="22"/>
      <c r="Q5" s="44">
        <v>100</v>
      </c>
      <c r="R5" s="44"/>
      <c r="S5" s="44">
        <v>0.5</v>
      </c>
    </row>
    <row r="6" spans="1:19" x14ac:dyDescent="0.25">
      <c r="A6" s="42">
        <v>0.25</v>
      </c>
      <c r="B6" s="24">
        <v>6.3299999999999995E-2</v>
      </c>
      <c r="C6" s="14">
        <f>1/(1+B6/2)^(2*A6)</f>
        <v>0.98454100506076059</v>
      </c>
      <c r="D6" s="7"/>
      <c r="H6" s="7"/>
      <c r="L6" s="7"/>
      <c r="P6" s="7"/>
    </row>
    <row r="7" spans="1:19" x14ac:dyDescent="0.25">
      <c r="A7" s="42">
        <v>0.5</v>
      </c>
      <c r="B7" s="24">
        <v>6.4899999999999999E-2</v>
      </c>
      <c r="C7" s="14">
        <f t="shared" ref="C7:C18" si="0">1/(1+B7/2)^(2*A7)</f>
        <v>0.9685699065330039</v>
      </c>
      <c r="D7" s="7"/>
      <c r="H7" s="7">
        <f>$I$3*100/2</f>
        <v>7.5</v>
      </c>
      <c r="I7">
        <f>H7*$C7</f>
        <v>7.2642742989975293</v>
      </c>
      <c r="J7">
        <f>I7/I$20</f>
        <v>5.9624774994355922E-2</v>
      </c>
      <c r="K7">
        <f>J7*$A7</f>
        <v>2.9812387497177961E-2</v>
      </c>
      <c r="L7" s="7">
        <f>$I$3*100/2</f>
        <v>7.5</v>
      </c>
      <c r="M7">
        <f>L7*$C7</f>
        <v>7.2642742989975293</v>
      </c>
      <c r="N7">
        <f>M7/M$20</f>
        <v>2.0379523014326599E-2</v>
      </c>
      <c r="O7">
        <f>N7*$A7</f>
        <v>1.01897615071633E-2</v>
      </c>
      <c r="P7" s="7"/>
    </row>
    <row r="8" spans="1:19" x14ac:dyDescent="0.25">
      <c r="A8" s="42">
        <v>0.75</v>
      </c>
      <c r="B8" s="24">
        <v>6.6199999999999995E-2</v>
      </c>
      <c r="C8" s="14">
        <f t="shared" si="0"/>
        <v>0.95232778992149036</v>
      </c>
      <c r="D8" s="7"/>
      <c r="H8" s="7"/>
      <c r="I8">
        <f t="shared" ref="I8:I15" si="1">H8*$C8</f>
        <v>0</v>
      </c>
      <c r="J8">
        <f t="shared" ref="J8:J17" si="2">I8/I$20</f>
        <v>0</v>
      </c>
      <c r="K8">
        <f t="shared" ref="K8:K17" si="3">J8*$A8</f>
        <v>0</v>
      </c>
      <c r="L8" s="7"/>
      <c r="M8">
        <f t="shared" ref="M8:M15" si="4">L8*$C8</f>
        <v>0</v>
      </c>
      <c r="N8">
        <f t="shared" ref="N8:N17" si="5">M8/M$20</f>
        <v>0</v>
      </c>
      <c r="O8">
        <f t="shared" ref="O8:O17" si="6">N8*$A8</f>
        <v>0</v>
      </c>
      <c r="P8" s="7"/>
    </row>
    <row r="9" spans="1:19" x14ac:dyDescent="0.25">
      <c r="A9" s="42">
        <v>1</v>
      </c>
      <c r="B9" s="24">
        <v>6.7100000000000007E-2</v>
      </c>
      <c r="C9" s="14">
        <f t="shared" si="0"/>
        <v>0.93613184112014403</v>
      </c>
      <c r="D9" s="7"/>
      <c r="H9" s="7">
        <f>$I$3*100/2</f>
        <v>7.5</v>
      </c>
      <c r="I9">
        <f t="shared" si="1"/>
        <v>7.0209888084010803</v>
      </c>
      <c r="J9">
        <f t="shared" si="2"/>
        <v>5.7627900697055971E-2</v>
      </c>
      <c r="K9">
        <f t="shared" si="3"/>
        <v>5.7627900697055971E-2</v>
      </c>
      <c r="L9" s="7">
        <f>$I$3*100/2</f>
        <v>7.5</v>
      </c>
      <c r="M9">
        <f t="shared" si="4"/>
        <v>7.0209888084010803</v>
      </c>
      <c r="N9">
        <f t="shared" si="5"/>
        <v>1.9696998917549818E-2</v>
      </c>
      <c r="O9">
        <f t="shared" si="6"/>
        <v>1.9696998917549818E-2</v>
      </c>
      <c r="P9" s="7"/>
    </row>
    <row r="10" spans="1:19" x14ac:dyDescent="0.25">
      <c r="A10" s="42">
        <v>1.25</v>
      </c>
      <c r="B10" s="24">
        <v>6.7900000000000002E-2</v>
      </c>
      <c r="C10" s="14">
        <f t="shared" si="0"/>
        <v>0.91992231976302186</v>
      </c>
      <c r="D10" s="7"/>
      <c r="H10" s="7"/>
      <c r="I10">
        <f t="shared" si="1"/>
        <v>0</v>
      </c>
      <c r="J10">
        <f t="shared" si="2"/>
        <v>0</v>
      </c>
      <c r="K10">
        <f t="shared" si="3"/>
        <v>0</v>
      </c>
      <c r="L10" s="7"/>
      <c r="M10">
        <f t="shared" si="4"/>
        <v>0</v>
      </c>
      <c r="N10">
        <f t="shared" si="5"/>
        <v>0</v>
      </c>
      <c r="O10">
        <f t="shared" si="6"/>
        <v>0</v>
      </c>
      <c r="P10" s="7"/>
    </row>
    <row r="11" spans="1:19" x14ac:dyDescent="0.25">
      <c r="A11" s="42">
        <v>1.5</v>
      </c>
      <c r="B11" s="24">
        <v>6.8400000000000002E-2</v>
      </c>
      <c r="C11" s="14">
        <f t="shared" si="0"/>
        <v>0.90403740436141711</v>
      </c>
      <c r="D11" s="7"/>
      <c r="H11" s="7">
        <f>$I$3*100/2</f>
        <v>7.5</v>
      </c>
      <c r="I11">
        <f t="shared" si="1"/>
        <v>6.7802805327106279</v>
      </c>
      <c r="J11">
        <f t="shared" si="2"/>
        <v>5.5652180041889737E-2</v>
      </c>
      <c r="K11">
        <f t="shared" si="3"/>
        <v>8.3478270062834606E-2</v>
      </c>
      <c r="L11" s="7">
        <f>$I$3*100/2</f>
        <v>7.5</v>
      </c>
      <c r="M11">
        <f t="shared" si="4"/>
        <v>6.7802805327106279</v>
      </c>
      <c r="N11">
        <f t="shared" si="5"/>
        <v>1.9021705055801041E-2</v>
      </c>
      <c r="O11">
        <f t="shared" si="6"/>
        <v>2.8532557583701559E-2</v>
      </c>
      <c r="P11" s="7"/>
    </row>
    <row r="12" spans="1:19" x14ac:dyDescent="0.25">
      <c r="A12" s="42">
        <v>1.75</v>
      </c>
      <c r="B12" s="24">
        <v>6.8699999999999997E-2</v>
      </c>
      <c r="C12" s="14">
        <f t="shared" si="0"/>
        <v>0.88851279094980307</v>
      </c>
      <c r="D12" s="7"/>
      <c r="H12" s="7"/>
      <c r="I12">
        <f t="shared" si="1"/>
        <v>0</v>
      </c>
      <c r="J12">
        <f t="shared" si="2"/>
        <v>0</v>
      </c>
      <c r="K12">
        <f t="shared" si="3"/>
        <v>0</v>
      </c>
      <c r="L12" s="7"/>
      <c r="M12">
        <f t="shared" si="4"/>
        <v>0</v>
      </c>
      <c r="N12">
        <f t="shared" si="5"/>
        <v>0</v>
      </c>
      <c r="O12">
        <f t="shared" si="6"/>
        <v>0</v>
      </c>
      <c r="P12" s="7"/>
    </row>
    <row r="13" spans="1:19" x14ac:dyDescent="0.25">
      <c r="A13" s="42">
        <v>2</v>
      </c>
      <c r="B13" s="24">
        <v>6.88E-2</v>
      </c>
      <c r="C13" s="14">
        <f t="shared" si="0"/>
        <v>0.87346589530028107</v>
      </c>
      <c r="D13" s="7"/>
      <c r="H13" s="7">
        <f>$I$3*100/2</f>
        <v>7.5</v>
      </c>
      <c r="I13">
        <f t="shared" si="1"/>
        <v>6.5509942147521079</v>
      </c>
      <c r="J13">
        <f t="shared" si="2"/>
        <v>5.3770210205006275E-2</v>
      </c>
      <c r="K13">
        <f t="shared" si="3"/>
        <v>0.10754042041001255</v>
      </c>
      <c r="L13" s="7">
        <f>$I$3*100/2</f>
        <v>7.5</v>
      </c>
      <c r="M13">
        <f t="shared" si="4"/>
        <v>6.5509942147521079</v>
      </c>
      <c r="N13">
        <f t="shared" si="5"/>
        <v>1.8378454869839491E-2</v>
      </c>
      <c r="O13">
        <f t="shared" si="6"/>
        <v>3.6756909739678982E-2</v>
      </c>
      <c r="P13" s="7"/>
    </row>
    <row r="14" spans="1:19" x14ac:dyDescent="0.25">
      <c r="A14" s="42">
        <v>2.25</v>
      </c>
      <c r="B14" s="24">
        <v>6.8900000000000003E-2</v>
      </c>
      <c r="C14" s="14">
        <f t="shared" si="0"/>
        <v>0.85863232080862129</v>
      </c>
      <c r="D14" s="7"/>
      <c r="H14" s="7"/>
      <c r="I14">
        <f t="shared" si="1"/>
        <v>0</v>
      </c>
      <c r="J14">
        <f t="shared" si="2"/>
        <v>0</v>
      </c>
      <c r="K14">
        <f t="shared" si="3"/>
        <v>0</v>
      </c>
      <c r="L14" s="7"/>
      <c r="M14">
        <f t="shared" si="4"/>
        <v>0</v>
      </c>
      <c r="N14">
        <f t="shared" si="5"/>
        <v>0</v>
      </c>
      <c r="O14">
        <f t="shared" si="6"/>
        <v>0</v>
      </c>
      <c r="P14" s="7"/>
    </row>
    <row r="15" spans="1:19" x14ac:dyDescent="0.25">
      <c r="A15" s="42">
        <v>2.5</v>
      </c>
      <c r="B15" s="24">
        <v>6.88E-2</v>
      </c>
      <c r="C15" s="14">
        <f t="shared" si="0"/>
        <v>0.8444179188904497</v>
      </c>
      <c r="D15" s="7"/>
      <c r="H15" s="7">
        <f>$I$3*100/2</f>
        <v>7.5</v>
      </c>
      <c r="I15">
        <f t="shared" si="1"/>
        <v>6.3331343916783727</v>
      </c>
      <c r="J15">
        <f t="shared" si="2"/>
        <v>5.198202842711358E-2</v>
      </c>
      <c r="K15">
        <f t="shared" si="3"/>
        <v>0.12995507106778395</v>
      </c>
      <c r="L15" s="7">
        <f>$I$3*100/2</f>
        <v>7.5</v>
      </c>
      <c r="M15">
        <f t="shared" si="4"/>
        <v>6.3331343916783727</v>
      </c>
      <c r="N15">
        <f t="shared" si="5"/>
        <v>1.7767261088398583E-2</v>
      </c>
      <c r="O15">
        <f t="shared" si="6"/>
        <v>4.4418152720996459E-2</v>
      </c>
      <c r="P15" s="7"/>
    </row>
    <row r="16" spans="1:19" x14ac:dyDescent="0.25">
      <c r="A16" s="42">
        <v>2.75</v>
      </c>
      <c r="B16" s="24">
        <v>6.8599999999999994E-2</v>
      </c>
      <c r="C16" s="14">
        <f t="shared" si="0"/>
        <v>0.83069981594032294</v>
      </c>
      <c r="D16" s="7"/>
      <c r="H16" s="7"/>
      <c r="I16">
        <f t="shared" ref="I8:I17" si="7">H16*C16</f>
        <v>0</v>
      </c>
      <c r="J16">
        <f t="shared" si="2"/>
        <v>0</v>
      </c>
      <c r="K16">
        <f t="shared" si="3"/>
        <v>0</v>
      </c>
      <c r="L16" s="7"/>
      <c r="M16">
        <f t="shared" ref="M16" si="8">L16*G16</f>
        <v>0</v>
      </c>
      <c r="N16">
        <f t="shared" si="5"/>
        <v>0</v>
      </c>
      <c r="O16">
        <f t="shared" si="6"/>
        <v>0</v>
      </c>
      <c r="P16" s="7"/>
    </row>
    <row r="17" spans="1:19" x14ac:dyDescent="0.25">
      <c r="A17" s="42">
        <v>3</v>
      </c>
      <c r="B17" s="24">
        <v>6.83E-2</v>
      </c>
      <c r="C17" s="14">
        <f t="shared" si="0"/>
        <v>0.81752074565952326</v>
      </c>
      <c r="D17" s="7">
        <v>100</v>
      </c>
      <c r="E17">
        <f>C17*D17</f>
        <v>81.752074565952327</v>
      </c>
      <c r="G17">
        <f>A17</f>
        <v>3</v>
      </c>
      <c r="H17" s="7">
        <f>$I$3*100/2+100</f>
        <v>107.5</v>
      </c>
      <c r="I17">
        <f>$H17*C17</f>
        <v>87.883480158398754</v>
      </c>
      <c r="J17">
        <f t="shared" si="2"/>
        <v>0.72134290563457848</v>
      </c>
      <c r="K17">
        <f t="shared" si="3"/>
        <v>2.1640287169037355</v>
      </c>
      <c r="L17" s="7">
        <f>$I$3*100/2+100</f>
        <v>107.5</v>
      </c>
      <c r="M17">
        <f>$H17*G17</f>
        <v>322.5</v>
      </c>
      <c r="N17">
        <f t="shared" si="5"/>
        <v>0.90475605705408446</v>
      </c>
      <c r="O17">
        <f t="shared" si="6"/>
        <v>2.7142681711622534</v>
      </c>
      <c r="P17" s="7"/>
    </row>
    <row r="18" spans="1:19" x14ac:dyDescent="0.25">
      <c r="A18" s="42">
        <v>3.25</v>
      </c>
      <c r="B18" s="24">
        <v>6.8000000000000005E-2</v>
      </c>
      <c r="C18" s="14">
        <f t="shared" si="0"/>
        <v>0.80466756904630443</v>
      </c>
      <c r="D18" s="7"/>
      <c r="H18" s="7"/>
      <c r="L18" s="7"/>
      <c r="P18" s="7"/>
    </row>
    <row r="19" spans="1:19" ht="15.75" thickBot="1" x14ac:dyDescent="0.3">
      <c r="A19" s="43"/>
      <c r="B19" s="26"/>
      <c r="C19" s="13"/>
      <c r="D19" s="12"/>
      <c r="E19" s="11"/>
      <c r="F19" s="11"/>
      <c r="G19" s="11"/>
      <c r="H19" s="12"/>
      <c r="I19" s="11"/>
      <c r="J19" s="11"/>
      <c r="K19" s="11"/>
      <c r="L19" s="12"/>
      <c r="M19" s="11"/>
      <c r="N19" s="11"/>
      <c r="O19" s="11"/>
      <c r="P19" s="12"/>
      <c r="Q19" s="11"/>
      <c r="R19" s="11"/>
      <c r="S19" s="11"/>
    </row>
    <row r="20" spans="1:19" x14ac:dyDescent="0.25">
      <c r="A20" s="6"/>
      <c r="B20" s="10"/>
      <c r="C20" s="9"/>
      <c r="D20" s="7">
        <f>D17</f>
        <v>100</v>
      </c>
      <c r="E20" s="8">
        <f>E17</f>
        <v>81.752074565952327</v>
      </c>
      <c r="F20" s="6"/>
      <c r="G20" s="6">
        <f>G17</f>
        <v>3</v>
      </c>
      <c r="H20" s="7"/>
      <c r="I20" s="6">
        <f>SUM(I7:I17)</f>
        <v>121.83315240493847</v>
      </c>
      <c r="J20" s="6">
        <f>SUM(J7:J17)</f>
        <v>1</v>
      </c>
      <c r="K20" s="6">
        <f>SUM(K7:K17)</f>
        <v>2.5724427666386007</v>
      </c>
      <c r="L20" s="7"/>
      <c r="M20" s="6">
        <f>SUM(M7:M17)</f>
        <v>356.44967224653971</v>
      </c>
      <c r="N20" s="27">
        <f>SUM(N7:N17)</f>
        <v>1</v>
      </c>
      <c r="O20" s="27">
        <f>SUM(O7:O17)</f>
        <v>2.8538625516313436</v>
      </c>
      <c r="P20" s="7"/>
      <c r="Q20" s="6">
        <f>Q5</f>
        <v>100</v>
      </c>
      <c r="R20" s="6"/>
      <c r="S20" s="6">
        <f>S5</f>
        <v>0.5</v>
      </c>
    </row>
    <row r="26" spans="1:19" x14ac:dyDescent="0.25">
      <c r="D26" t="s">
        <v>50</v>
      </c>
    </row>
    <row r="27" spans="1:19" x14ac:dyDescent="0.25">
      <c r="D27" t="s">
        <v>51</v>
      </c>
    </row>
    <row r="29" spans="1:19" x14ac:dyDescent="0.25">
      <c r="I29" s="48" t="s">
        <v>52</v>
      </c>
    </row>
    <row r="30" spans="1:19" x14ac:dyDescent="0.25">
      <c r="D30" s="4" t="s">
        <v>53</v>
      </c>
      <c r="E30" s="4" t="s">
        <v>54</v>
      </c>
      <c r="F30" s="4" t="s">
        <v>55</v>
      </c>
      <c r="G30" s="4" t="s">
        <v>56</v>
      </c>
      <c r="H30" s="4" t="s">
        <v>57</v>
      </c>
      <c r="I30" s="4" t="s">
        <v>57</v>
      </c>
    </row>
    <row r="31" spans="1:19" x14ac:dyDescent="0.25">
      <c r="C31" t="s">
        <v>10</v>
      </c>
      <c r="D31" s="3">
        <f>E20</f>
        <v>81.752074565952327</v>
      </c>
      <c r="E31" s="3">
        <f>I20</f>
        <v>121.83315240493847</v>
      </c>
      <c r="F31" s="3">
        <f>M20</f>
        <v>356.44967224653971</v>
      </c>
      <c r="G31" s="38">
        <f>Q20</f>
        <v>100</v>
      </c>
      <c r="H31" s="3">
        <f>D31+E31-G31</f>
        <v>103.5852269708908</v>
      </c>
      <c r="I31" s="3"/>
    </row>
    <row r="32" spans="1:19" x14ac:dyDescent="0.25">
      <c r="C32"/>
      <c r="D32" s="3"/>
      <c r="E32" s="3"/>
      <c r="F32" s="3"/>
      <c r="G32" s="3"/>
      <c r="H32" s="3"/>
      <c r="I32" s="3"/>
    </row>
    <row r="33" spans="3:9" x14ac:dyDescent="0.25">
      <c r="C33" t="s">
        <v>11</v>
      </c>
      <c r="D33" s="3">
        <f>D31/$H$31</f>
        <v>0.78922522985759391</v>
      </c>
      <c r="E33" s="3">
        <f t="shared" ref="E33:G33" si="9">E31/$H$31</f>
        <v>1.176163396728142</v>
      </c>
      <c r="F33" s="3">
        <f t="shared" ref="F33" si="10">F31/$H$31</f>
        <v>3.4411245953702267</v>
      </c>
      <c r="G33" s="3">
        <f>-G31/$H$31</f>
        <v>-0.96538862658573588</v>
      </c>
      <c r="H33" s="38"/>
      <c r="I33" s="3"/>
    </row>
    <row r="34" spans="3:9" x14ac:dyDescent="0.25">
      <c r="C34" t="s">
        <v>29</v>
      </c>
      <c r="D34" s="38">
        <f>G20</f>
        <v>3</v>
      </c>
      <c r="E34" s="3">
        <f>K20</f>
        <v>2.5724427666386007</v>
      </c>
      <c r="F34" s="3">
        <f>O20</f>
        <v>2.8538625516313436</v>
      </c>
      <c r="G34" s="45">
        <f>S20</f>
        <v>0.5</v>
      </c>
      <c r="H34" s="3">
        <f>SUMPRODUCT(D33:G33,D34:G34)</f>
        <v>14.73109101680296</v>
      </c>
      <c r="I34" s="3"/>
    </row>
    <row r="35" spans="3:9" x14ac:dyDescent="0.25">
      <c r="C35"/>
      <c r="D35" s="3">
        <f>D33*D34</f>
        <v>2.3676756895727817</v>
      </c>
      <c r="E35" s="3">
        <f t="shared" ref="E35:G35" si="11">E33*E34</f>
        <v>3.0256130222983955</v>
      </c>
      <c r="F35" s="3">
        <f t="shared" si="11"/>
        <v>9.8204966182246505</v>
      </c>
      <c r="G35" s="3">
        <f t="shared" si="11"/>
        <v>-0.48269431329286794</v>
      </c>
      <c r="H35" s="3">
        <f>SUM(D35:G35)</f>
        <v>14.73109101680296</v>
      </c>
      <c r="I35" s="3">
        <f>2*D35+F35-2*G35</f>
        <v>15.52123662395595</v>
      </c>
    </row>
    <row r="36" spans="3:9" x14ac:dyDescent="0.25">
      <c r="C36" t="s">
        <v>11</v>
      </c>
      <c r="D36" s="3">
        <f>2*D31/$H$31</f>
        <v>1.5784504597151878</v>
      </c>
      <c r="E36" s="3"/>
      <c r="F36" s="3">
        <f>F33</f>
        <v>3.4411245953702267</v>
      </c>
      <c r="G36" s="3">
        <f>-2*G33</f>
        <v>1.9307772531714718</v>
      </c>
      <c r="H36" s="3"/>
      <c r="I36" s="38"/>
    </row>
    <row r="37" spans="3:9" x14ac:dyDescent="0.25">
      <c r="C37" t="s">
        <v>29</v>
      </c>
      <c r="D37" s="38">
        <f>D34</f>
        <v>3</v>
      </c>
      <c r="E37" s="3"/>
      <c r="F37" s="3"/>
      <c r="G37" s="45"/>
      <c r="H37" s="3"/>
      <c r="I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Immunization</vt:lpstr>
      <vt:lpstr>Inverse Floaters</vt:lpstr>
    </vt:vector>
  </TitlesOfParts>
  <Manager/>
  <Company>Stockholm Business 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Dzielinski</dc:creator>
  <cp:keywords/>
  <dc:description/>
  <cp:lastModifiedBy>Niklas Rygart</cp:lastModifiedBy>
  <cp:revision/>
  <dcterms:created xsi:type="dcterms:W3CDTF">2013-12-12T13:40:02Z</dcterms:created>
  <dcterms:modified xsi:type="dcterms:W3CDTF">2024-01-26T13:40:43Z</dcterms:modified>
  <cp:category/>
  <cp:contentStatus/>
</cp:coreProperties>
</file>